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tables/table2.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OneDrive - DVV\Hjemmeside\"/>
    </mc:Choice>
  </mc:AlternateContent>
  <xr:revisionPtr revIDLastSave="0" documentId="8_{AB4F46DE-859C-497E-BB42-C4AA66D63E64}" xr6:coauthVersionLast="47" xr6:coauthVersionMax="47" xr10:uidLastSave="{00000000-0000-0000-0000-000000000000}"/>
  <bookViews>
    <workbookView xWindow="-110" yWindow="-110" windowWidth="19420" windowHeight="10420" tabRatio="704" xr2:uid="{00000000-000D-0000-FFFF-FFFF00000000}"/>
  </bookViews>
  <sheets>
    <sheet name="Stamdata" sheetId="7" r:id="rId1"/>
    <sheet name="Likviditetsbudget" sheetId="1" r:id="rId2"/>
    <sheet name="Investeringsplan" sheetId="2" r:id="rId3"/>
    <sheet name="Driftsbudget" sheetId="4" r:id="rId4"/>
    <sheet name="Anlægskartotek" sheetId="15" r:id="rId5"/>
    <sheet name="Forsynings- og stikledninger" sheetId="14" r:id="rId6"/>
    <sheet name="Målerbidrag" sheetId="16" r:id="rId7"/>
    <sheet name="Takstblad" sheetId="8" r:id="rId8"/>
  </sheets>
  <definedNames>
    <definedName name="AfskrivÅr" localSheetId="6">#REF!</definedName>
    <definedName name="AfskrivÅr">#REF!</definedName>
    <definedName name="AntalBoligenheder">Stamdata!$C$14</definedName>
    <definedName name="AntalMålere">Stamdata!$C$13</definedName>
    <definedName name="Leveretm3">Stamdata!$C$15</definedName>
    <definedName name="RegnÅr">Stamdata!$C$11</definedName>
    <definedName name="TakstÅr">Stamdata!$C$10</definedName>
    <definedName name="_xlnm.Print_Area" localSheetId="4">Anlægskartotek!$A$1:$N$47</definedName>
    <definedName name="_xlnm.Print_Area" localSheetId="1">Likviditetsbudget!$A:$N</definedName>
    <definedName name="_xlnm.Print_Titles" localSheetId="3">Driftsbudget!$1:$2</definedName>
    <definedName name="_xlnm.Print_Titles" localSheetId="2">Investeringsplan!$1:$2</definedName>
    <definedName name="_xlnm.Print_Titles" localSheetId="1">Likviditetsbudget!$A:$A,Likviditetsbudget!$1:$4</definedName>
    <definedName name="Vnavn">Stamdata!$B$3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2" l="1"/>
  <c r="D30" i="16" l="1"/>
  <c r="D27" i="16"/>
  <c r="D25" i="16"/>
  <c r="D24" i="16"/>
  <c r="D23" i="16"/>
  <c r="D17" i="16"/>
  <c r="D16" i="16"/>
  <c r="D15" i="16"/>
  <c r="D14" i="16"/>
  <c r="D13" i="16"/>
  <c r="D12" i="16"/>
  <c r="D14" i="2"/>
  <c r="D10" i="2"/>
  <c r="D7" i="2"/>
  <c r="D31" i="8" l="1"/>
  <c r="D32" i="8"/>
  <c r="C11" i="16" l="1"/>
  <c r="D11" i="16" s="1"/>
  <c r="B6" i="16"/>
  <c r="B9" i="16" s="1"/>
  <c r="D9" i="16" s="1"/>
  <c r="C28" i="16"/>
  <c r="D28" i="16" s="1"/>
  <c r="A1" i="16"/>
  <c r="A2" i="16"/>
  <c r="B10" i="16" l="1"/>
  <c r="D10" i="16" s="1"/>
  <c r="C26" i="16"/>
  <c r="D26" i="16" s="1"/>
  <c r="D31" i="16"/>
  <c r="D32" i="16" s="1"/>
  <c r="A4" i="2"/>
  <c r="A5" i="2" s="1"/>
  <c r="A6" i="2" s="1"/>
  <c r="A7" i="2" s="1"/>
  <c r="A8" i="2" s="1"/>
  <c r="A9" i="2" s="1"/>
  <c r="A10" i="2" s="1"/>
  <c r="A11" i="2" s="1"/>
  <c r="A12" i="2" s="1"/>
  <c r="A13" i="2" s="1"/>
  <c r="A14" i="2" s="1"/>
  <c r="A15" i="2" s="1"/>
  <c r="D18" i="16" l="1"/>
  <c r="D19" i="16" s="1"/>
  <c r="D20" i="16" l="1"/>
  <c r="D35" i="16" s="1"/>
  <c r="C11" i="8" s="1"/>
  <c r="D11" i="8" s="1"/>
  <c r="O7" i="1"/>
  <c r="G6" i="15" l="1"/>
  <c r="G43" i="15" l="1"/>
  <c r="I42" i="15"/>
  <c r="J42" i="15" s="1"/>
  <c r="N42" i="15" s="1"/>
  <c r="I41" i="15"/>
  <c r="J41" i="15" s="1"/>
  <c r="N41" i="15" s="1"/>
  <c r="I40" i="15"/>
  <c r="I39" i="15"/>
  <c r="M35" i="15"/>
  <c r="M46" i="15" s="1"/>
  <c r="L35" i="15"/>
  <c r="L46" i="15" s="1"/>
  <c r="G35" i="15"/>
  <c r="G46" i="15" s="1"/>
  <c r="M34" i="15"/>
  <c r="L34" i="15"/>
  <c r="G34" i="15"/>
  <c r="M33" i="15"/>
  <c r="L33" i="15"/>
  <c r="G33" i="15"/>
  <c r="M32" i="15"/>
  <c r="L32" i="15"/>
  <c r="G32" i="15"/>
  <c r="J4" i="15"/>
  <c r="J5" i="15"/>
  <c r="J29" i="15"/>
  <c r="K10" i="15"/>
  <c r="K11" i="15"/>
  <c r="K12" i="15"/>
  <c r="K13" i="15"/>
  <c r="K14" i="15"/>
  <c r="K15" i="15"/>
  <c r="K16" i="15"/>
  <c r="K17" i="15"/>
  <c r="K18" i="15"/>
  <c r="K19" i="15"/>
  <c r="N4" i="15"/>
  <c r="N5" i="15"/>
  <c r="N29" i="15"/>
  <c r="K4" i="15"/>
  <c r="K5" i="15"/>
  <c r="K6" i="15"/>
  <c r="K7" i="15"/>
  <c r="K8" i="15"/>
  <c r="K9" i="15"/>
  <c r="K20" i="15"/>
  <c r="K21" i="15"/>
  <c r="K22" i="15"/>
  <c r="K23" i="15"/>
  <c r="K24" i="15"/>
  <c r="K25" i="15"/>
  <c r="K26" i="15"/>
  <c r="K27" i="15"/>
  <c r="K29" i="15"/>
  <c r="I4" i="15"/>
  <c r="I5" i="15"/>
  <c r="I29" i="15"/>
  <c r="H4" i="15"/>
  <c r="H5" i="15"/>
  <c r="H29" i="15"/>
  <c r="L45" i="15" l="1"/>
  <c r="L47" i="15" s="1"/>
  <c r="G45" i="15"/>
  <c r="G47" i="15" s="1"/>
  <c r="I43" i="15"/>
  <c r="M45" i="15"/>
  <c r="M47" i="15" s="1"/>
  <c r="M36" i="15"/>
  <c r="H43" i="15"/>
  <c r="J40" i="15"/>
  <c r="N40" i="15" s="1"/>
  <c r="G36" i="15"/>
  <c r="J39" i="15"/>
  <c r="L36" i="15"/>
  <c r="J43" i="15" l="1"/>
  <c r="N39" i="15"/>
  <c r="N43" i="15" l="1"/>
  <c r="E20" i="2"/>
  <c r="E16" i="2"/>
  <c r="E29" i="2"/>
  <c r="E28" i="2"/>
  <c r="E27" i="2"/>
  <c r="E26" i="2"/>
  <c r="E25" i="2"/>
  <c r="E24" i="2"/>
  <c r="E23" i="2"/>
  <c r="E22" i="2"/>
  <c r="E21" i="2"/>
  <c r="M48" i="1"/>
  <c r="L48" i="1"/>
  <c r="K48" i="1"/>
  <c r="J48" i="1"/>
  <c r="I48" i="1"/>
  <c r="H48" i="1"/>
  <c r="G48" i="1"/>
  <c r="F48" i="1"/>
  <c r="E48" i="1"/>
  <c r="D48" i="1"/>
  <c r="C48" i="1"/>
  <c r="B48" i="1"/>
  <c r="O48" i="1" l="1"/>
  <c r="E19" i="2" l="1"/>
  <c r="E15" i="2"/>
  <c r="E14" i="2"/>
  <c r="E13" i="2"/>
  <c r="E12" i="2"/>
  <c r="E11" i="2"/>
  <c r="E10" i="2"/>
  <c r="E9" i="2"/>
  <c r="E8" i="2"/>
  <c r="E7" i="2"/>
  <c r="E6" i="2"/>
  <c r="E5" i="2"/>
  <c r="E4" i="2"/>
  <c r="C20" i="7"/>
  <c r="D34" i="8" l="1"/>
  <c r="A1" i="14" l="1"/>
  <c r="A2" i="14"/>
  <c r="C12" i="14"/>
  <c r="C11" i="14"/>
  <c r="C27" i="14"/>
  <c r="C26" i="14"/>
  <c r="D37" i="14"/>
  <c r="D40" i="14"/>
  <c r="D39" i="14"/>
  <c r="D38" i="14"/>
  <c r="D36" i="14"/>
  <c r="C41" i="14"/>
  <c r="B41" i="14"/>
  <c r="C15" i="14" l="1"/>
  <c r="C17" i="14" s="1"/>
  <c r="C21" i="8" s="1"/>
  <c r="C16" i="14"/>
  <c r="C30" i="14"/>
  <c r="C32" i="14" s="1"/>
  <c r="C22" i="8" s="1"/>
  <c r="D41" i="14"/>
  <c r="D42" i="14" s="1"/>
  <c r="C23" i="8" s="1"/>
  <c r="C31" i="14" l="1"/>
  <c r="M47" i="1"/>
  <c r="L47" i="1"/>
  <c r="K47" i="1"/>
  <c r="J47" i="1"/>
  <c r="I47" i="1"/>
  <c r="H47" i="1"/>
  <c r="G47" i="1"/>
  <c r="F47" i="1"/>
  <c r="E47" i="1"/>
  <c r="D47" i="1"/>
  <c r="C47" i="1"/>
  <c r="B47" i="1"/>
  <c r="O47" i="1" l="1"/>
  <c r="A1" i="8"/>
  <c r="A53" i="4"/>
  <c r="A46" i="4"/>
  <c r="D25" i="4"/>
  <c r="C25" i="4"/>
  <c r="B25" i="4"/>
  <c r="D18" i="4"/>
  <c r="D3" i="4"/>
  <c r="C3" i="4"/>
  <c r="A1" i="4"/>
  <c r="C11" i="7"/>
  <c r="H17" i="15" s="1"/>
  <c r="A32" i="2"/>
  <c r="A1" i="1"/>
  <c r="N40" i="1"/>
  <c r="M40" i="1"/>
  <c r="L40" i="1"/>
  <c r="K40" i="1"/>
  <c r="J40" i="1"/>
  <c r="I40" i="1"/>
  <c r="H40" i="1"/>
  <c r="G40" i="1"/>
  <c r="F40" i="1"/>
  <c r="E40" i="1"/>
  <c r="D40" i="1"/>
  <c r="C40" i="1"/>
  <c r="B40" i="1"/>
  <c r="N25" i="1"/>
  <c r="M25" i="1"/>
  <c r="L25" i="1"/>
  <c r="K25" i="1"/>
  <c r="J25" i="1"/>
  <c r="I25" i="1"/>
  <c r="H25" i="1"/>
  <c r="G25" i="1"/>
  <c r="F25" i="1"/>
  <c r="E25" i="1"/>
  <c r="D25" i="1"/>
  <c r="C25" i="1"/>
  <c r="B25" i="1"/>
  <c r="N18" i="1"/>
  <c r="M18" i="1"/>
  <c r="L18" i="1"/>
  <c r="K18" i="1"/>
  <c r="J18" i="1"/>
  <c r="I18" i="1"/>
  <c r="H18" i="1"/>
  <c r="G18" i="1"/>
  <c r="F18" i="1"/>
  <c r="E18" i="1"/>
  <c r="D18" i="1"/>
  <c r="C18" i="1"/>
  <c r="B18" i="1"/>
  <c r="N9" i="1"/>
  <c r="M9" i="1"/>
  <c r="L9" i="1"/>
  <c r="K9" i="1"/>
  <c r="J9" i="1"/>
  <c r="I9" i="1"/>
  <c r="H9" i="1"/>
  <c r="G9" i="1"/>
  <c r="F9" i="1"/>
  <c r="E9" i="1"/>
  <c r="D9" i="1"/>
  <c r="C9" i="1"/>
  <c r="B9" i="1"/>
  <c r="D49" i="1" l="1"/>
  <c r="E49" i="1"/>
  <c r="I44" i="1"/>
  <c r="L49" i="1"/>
  <c r="M49" i="1"/>
  <c r="E44" i="1"/>
  <c r="M44" i="1"/>
  <c r="I49" i="1"/>
  <c r="H49" i="1"/>
  <c r="C1" i="15"/>
  <c r="H13" i="15"/>
  <c r="I13" i="15" s="1"/>
  <c r="J13" i="15" s="1"/>
  <c r="N13" i="15" s="1"/>
  <c r="I17" i="15"/>
  <c r="J17" i="15" s="1"/>
  <c r="N17" i="15" s="1"/>
  <c r="H8" i="15"/>
  <c r="H20" i="15"/>
  <c r="H24" i="15"/>
  <c r="H28" i="15"/>
  <c r="H14" i="15"/>
  <c r="H18" i="15"/>
  <c r="H25" i="15"/>
  <c r="I25" i="15" s="1"/>
  <c r="J25" i="15" s="1"/>
  <c r="N25" i="15" s="1"/>
  <c r="H11" i="15"/>
  <c r="H15" i="15"/>
  <c r="H6" i="15"/>
  <c r="H26" i="15"/>
  <c r="I26" i="15" s="1"/>
  <c r="J26" i="15" s="1"/>
  <c r="N26" i="15" s="1"/>
  <c r="H10" i="15"/>
  <c r="I10" i="15" s="1"/>
  <c r="J10" i="15" s="1"/>
  <c r="N10" i="15" s="1"/>
  <c r="H22" i="15"/>
  <c r="H12" i="15"/>
  <c r="H16" i="15"/>
  <c r="H7" i="15"/>
  <c r="H9" i="15"/>
  <c r="H23" i="15"/>
  <c r="H27" i="15"/>
  <c r="H21" i="15"/>
  <c r="H19" i="15"/>
  <c r="B44" i="1"/>
  <c r="N44" i="1"/>
  <c r="C44" i="1"/>
  <c r="G44" i="1"/>
  <c r="K44" i="1"/>
  <c r="B49" i="1"/>
  <c r="F49" i="1"/>
  <c r="J49" i="1"/>
  <c r="F44" i="1"/>
  <c r="J44" i="1"/>
  <c r="D44" i="1"/>
  <c r="H44" i="1"/>
  <c r="L44" i="1"/>
  <c r="C49" i="1"/>
  <c r="G49" i="1"/>
  <c r="K49" i="1"/>
  <c r="B3" i="4"/>
  <c r="I19" i="15" l="1"/>
  <c r="J19" i="15" s="1"/>
  <c r="H35" i="15"/>
  <c r="H46" i="15" s="1"/>
  <c r="I15" i="15"/>
  <c r="J15" i="15" s="1"/>
  <c r="N15" i="15" s="1"/>
  <c r="I14" i="15"/>
  <c r="J14" i="15" s="1"/>
  <c r="N14" i="15" s="1"/>
  <c r="I8" i="15"/>
  <c r="H33" i="15"/>
  <c r="I21" i="15"/>
  <c r="J21" i="15" s="1"/>
  <c r="N21" i="15" s="1"/>
  <c r="I7" i="15"/>
  <c r="J7" i="15" s="1"/>
  <c r="N7" i="15" s="1"/>
  <c r="I11" i="15"/>
  <c r="J11" i="15" s="1"/>
  <c r="N11" i="15" s="1"/>
  <c r="K28" i="15"/>
  <c r="I28" i="15"/>
  <c r="J28" i="15" s="1"/>
  <c r="N28" i="15" s="1"/>
  <c r="I9" i="15"/>
  <c r="J9" i="15" s="1"/>
  <c r="N9" i="15" s="1"/>
  <c r="I24" i="15"/>
  <c r="J24" i="15" s="1"/>
  <c r="N24" i="15" s="1"/>
  <c r="I22" i="15"/>
  <c r="J22" i="15" s="1"/>
  <c r="N22" i="15" s="1"/>
  <c r="I27" i="15"/>
  <c r="J27" i="15" s="1"/>
  <c r="N27" i="15" s="1"/>
  <c r="I16" i="15"/>
  <c r="J16" i="15" s="1"/>
  <c r="N16" i="15" s="1"/>
  <c r="I23" i="15"/>
  <c r="J23" i="15" s="1"/>
  <c r="N23" i="15" s="1"/>
  <c r="I12" i="15"/>
  <c r="J12" i="15" s="1"/>
  <c r="N12" i="15" s="1"/>
  <c r="I6" i="15"/>
  <c r="J6" i="15" s="1"/>
  <c r="H32" i="15"/>
  <c r="H34" i="15"/>
  <c r="I18" i="15"/>
  <c r="I34" i="15" s="1"/>
  <c r="I20" i="15"/>
  <c r="J20" i="15" s="1"/>
  <c r="N20" i="15" s="1"/>
  <c r="O49" i="1"/>
  <c r="N6" i="15" l="1"/>
  <c r="N32" i="15" s="1"/>
  <c r="J32" i="15"/>
  <c r="I33" i="15"/>
  <c r="J18" i="15"/>
  <c r="H45" i="15"/>
  <c r="H47" i="15" s="1"/>
  <c r="H36" i="15"/>
  <c r="N19" i="15"/>
  <c r="N35" i="15" s="1"/>
  <c r="N46" i="15" s="1"/>
  <c r="J35" i="15"/>
  <c r="J46" i="15" s="1"/>
  <c r="I32" i="15"/>
  <c r="J8" i="15"/>
  <c r="I35" i="15"/>
  <c r="I46" i="15" s="1"/>
  <c r="A1" i="7"/>
  <c r="A1" i="2"/>
  <c r="N8" i="15" l="1"/>
  <c r="N33" i="15" s="1"/>
  <c r="J33" i="15"/>
  <c r="I36" i="15"/>
  <c r="I45" i="15"/>
  <c r="I47" i="15" s="1"/>
  <c r="J34" i="15"/>
  <c r="N18" i="15"/>
  <c r="N34" i="15" s="1"/>
  <c r="D32" i="2"/>
  <c r="A33" i="2"/>
  <c r="D5" i="4"/>
  <c r="C5" i="4"/>
  <c r="C10" i="8" s="1"/>
  <c r="B5" i="4"/>
  <c r="J36" i="15" l="1"/>
  <c r="N36" i="15"/>
  <c r="J45" i="15"/>
  <c r="J47" i="15" s="1"/>
  <c r="N45" i="15"/>
  <c r="C12" i="8"/>
  <c r="D33" i="2"/>
  <c r="A34" i="2"/>
  <c r="C17" i="8" l="1"/>
  <c r="D17" i="8" s="1"/>
  <c r="N47" i="15"/>
  <c r="D34" i="2"/>
  <c r="A35" i="2"/>
  <c r="E35" i="2" l="1"/>
  <c r="D35" i="2"/>
  <c r="A36" i="2"/>
  <c r="A37" i="2" s="1"/>
  <c r="E37" i="2" l="1"/>
  <c r="A38" i="2"/>
  <c r="D37" i="2"/>
  <c r="E36" i="2"/>
  <c r="D36" i="2"/>
  <c r="C13" i="8"/>
  <c r="D13" i="8" s="1"/>
  <c r="D12" i="8"/>
  <c r="D10" i="8"/>
  <c r="C7" i="8"/>
  <c r="C6" i="8"/>
  <c r="C5" i="8"/>
  <c r="A7" i="8"/>
  <c r="A6" i="8"/>
  <c r="A5" i="8"/>
  <c r="E38" i="2" l="1"/>
  <c r="A39" i="2"/>
  <c r="D38" i="2"/>
  <c r="D39" i="2" l="1"/>
  <c r="A40" i="2"/>
  <c r="E39" i="2"/>
  <c r="D23" i="8"/>
  <c r="E40" i="2" l="1"/>
  <c r="A41" i="2"/>
  <c r="D40" i="2"/>
  <c r="E41" i="2" l="1"/>
  <c r="D41" i="2"/>
  <c r="D42" i="2" s="1"/>
  <c r="D22" i="8" l="1"/>
  <c r="D21" i="8"/>
  <c r="D40" i="4"/>
  <c r="D42" i="4" s="1"/>
  <c r="B38" i="4"/>
  <c r="B40" i="4" s="1"/>
  <c r="B12" i="4"/>
  <c r="B18" i="4" s="1"/>
  <c r="C14" i="4"/>
  <c r="C28" i="4"/>
  <c r="C12" i="4"/>
  <c r="B9" i="4"/>
  <c r="C9" i="4"/>
  <c r="D9" i="4"/>
  <c r="C39" i="4"/>
  <c r="C38" i="4"/>
  <c r="C37" i="4"/>
  <c r="C36" i="4"/>
  <c r="C33" i="4"/>
  <c r="C32" i="4"/>
  <c r="C30" i="4"/>
  <c r="C29" i="4"/>
  <c r="D44" i="4" l="1"/>
  <c r="B42" i="4"/>
  <c r="B44" i="4" s="1"/>
  <c r="C40" i="4"/>
  <c r="C18" i="4"/>
  <c r="E34" i="2"/>
  <c r="E32" i="2"/>
  <c r="E33" i="2"/>
  <c r="C42" i="4" l="1"/>
  <c r="C44" i="4" s="1"/>
  <c r="E42" i="2"/>
  <c r="B45" i="1"/>
  <c r="C43" i="1" s="1"/>
  <c r="C45" i="1" l="1"/>
  <c r="D43" i="1" s="1"/>
  <c r="D45" i="1" s="1"/>
  <c r="E43" i="1" s="1"/>
  <c r="E45" i="1" s="1"/>
  <c r="F43" i="1" s="1"/>
  <c r="F45" i="1" s="1"/>
  <c r="G43" i="1" s="1"/>
  <c r="G45" i="1" s="1"/>
  <c r="H43" i="1" s="1"/>
  <c r="H45" i="1" s="1"/>
  <c r="I43" i="1" s="1"/>
  <c r="I45" i="1" s="1"/>
  <c r="J43" i="1" s="1"/>
  <c r="J45" i="1" s="1"/>
  <c r="K43" i="1" s="1"/>
  <c r="K45" i="1" s="1"/>
  <c r="L43" i="1" s="1"/>
  <c r="L45" i="1" s="1"/>
  <c r="M43" i="1" s="1"/>
  <c r="M45" i="1" s="1"/>
  <c r="N43" i="1" s="1"/>
  <c r="N45" i="1" s="1"/>
  <c r="C18" i="8" l="1"/>
  <c r="D18" i="8" s="1"/>
  <c r="C20" i="8"/>
  <c r="D20" i="8" s="1"/>
  <c r="C19" i="8"/>
  <c r="D1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Neel Ploug</author>
  </authors>
  <commentList>
    <comment ref="A1" authorId="0" shapeId="0" xr:uid="{00000000-0006-0000-0100-000001000000}">
      <text>
        <r>
          <rPr>
            <b/>
            <sz val="9"/>
            <color indexed="81"/>
            <rFont val="Tahoma"/>
            <family val="2"/>
          </rPr>
          <t>Kollonne A er frosset, så man beholder oplysningen om, hvad der står i kollonnen, selvom man bevæger sig videre i arket.</t>
        </r>
      </text>
    </comment>
    <comment ref="A3" authorId="0" shapeId="0" xr:uid="{00000000-0006-0000-0100-000002000000}">
      <text>
        <r>
          <rPr>
            <b/>
            <sz val="9"/>
            <color indexed="81"/>
            <rFont val="Tahoma"/>
            <family val="2"/>
          </rPr>
          <t>Det er vigtigt, at man husker, at beløbene er inklusive moms. Ellers kan man tage fejl af likviditetsbehovet. Der er selvfølgelig poster, som er uden moms (f.eks. Porto og løn).</t>
        </r>
      </text>
    </comment>
    <comment ref="A4" authorId="0" shapeId="0" xr:uid="{00000000-0006-0000-0100-000003000000}">
      <text>
        <r>
          <rPr>
            <b/>
            <sz val="9"/>
            <color indexed="81"/>
            <rFont val="Tahoma"/>
            <family val="2"/>
          </rPr>
          <t>Alle indbetalinger fra andelshaverne - dvs. inklusiv moms og afgifter. Se, hvad der står på kontoudtoget i banken.</t>
        </r>
      </text>
    </comment>
    <comment ref="A5" authorId="0" shapeId="0" xr:uid="{00000000-0006-0000-0100-000004000000}">
      <text>
        <r>
          <rPr>
            <b/>
            <sz val="9"/>
            <color indexed="81"/>
            <rFont val="Tahoma"/>
            <family val="2"/>
          </rPr>
          <t>Alle indbetalinger fra andelshaverne - dvs. inklusiv moms og afgifter. Se, hvad der står på kontoudtoget i banken.</t>
        </r>
      </text>
    </comment>
    <comment ref="A7" authorId="0" shapeId="0" xr:uid="{00000000-0006-0000-0100-000005000000}">
      <text>
        <r>
          <rPr>
            <b/>
            <sz val="9"/>
            <color indexed="81"/>
            <rFont val="Tahoma"/>
            <family val="2"/>
          </rPr>
          <t>I skal betale moms af salget fratrukket moms af omkostninger</t>
        </r>
      </text>
    </comment>
    <comment ref="A8" authorId="0" shapeId="0" xr:uid="{00000000-0006-0000-0100-000006000000}">
      <text>
        <r>
          <rPr>
            <b/>
            <sz val="9"/>
            <color indexed="81"/>
            <rFont val="Tahoma"/>
            <family val="2"/>
          </rPr>
          <t>Afgift til staten skal afregnes den 15. i måneden efter at ens momsperiode er afsluttet. F.eks. Den 15. januar og den 15. juli.</t>
        </r>
      </text>
    </comment>
    <comment ref="A17" authorId="0" shapeId="0" xr:uid="{00000000-0006-0000-0100-000007000000}">
      <text>
        <r>
          <rPr>
            <b/>
            <sz val="9"/>
            <color indexed="81"/>
            <rFont val="Tahoma"/>
            <family val="2"/>
          </rPr>
          <t>Husk investeringsplanen er eksklusive moms. I skal altså sørge for at indregne momsen i beløbene på likviditetsbudgettet.</t>
        </r>
      </text>
    </comment>
    <comment ref="A24" authorId="0" shapeId="0" xr:uid="{00000000-0006-0000-0100-000008000000}">
      <text>
        <r>
          <rPr>
            <b/>
            <sz val="9"/>
            <color indexed="81"/>
            <rFont val="Tahoma"/>
            <family val="2"/>
          </rPr>
          <t>Husk investeringsplanen er eksklusive moms. I skal altså sørge for at indregne momsen i beløbene på likviditetsbudgettet.</t>
        </r>
      </text>
    </comment>
    <comment ref="B43" authorId="0" shapeId="0" xr:uid="{00000000-0006-0000-0100-000009000000}">
      <text>
        <r>
          <rPr>
            <b/>
            <sz val="9"/>
            <color indexed="81"/>
            <rFont val="Tahoma"/>
            <family val="2"/>
          </rPr>
          <t>Find saldo på bankkonto udtog</t>
        </r>
      </text>
    </comment>
    <comment ref="A49" authorId="0" shapeId="0" xr:uid="{00000000-0006-0000-0100-00000A000000}">
      <text>
        <r>
          <rPr>
            <b/>
            <sz val="9"/>
            <color indexed="81"/>
            <rFont val="Tahoma"/>
            <family val="2"/>
          </rPr>
          <t>Beløbet bruges andre steder i projektmappen.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Neel Ploug</author>
  </authors>
  <commentList>
    <comment ref="C3" authorId="0" shapeId="0" xr:uid="{00000000-0006-0000-0200-000001000000}">
      <text>
        <r>
          <rPr>
            <b/>
            <sz val="9"/>
            <color indexed="81"/>
            <rFont val="Tahoma"/>
            <family val="2"/>
          </rPr>
          <t>Levetiden fortæller noget om, hvor længe man forventer at en investering kan holde, før man skal udskifte den. Samtidig kan man bruge levetiden til at fordele udgiften til investeringen over en årrække (afskrivninger).</t>
        </r>
      </text>
    </comment>
    <comment ref="D3" authorId="0" shapeId="0" xr:uid="{00000000-0006-0000-0200-000002000000}">
      <text>
        <r>
          <rPr>
            <b/>
            <sz val="9"/>
            <color indexed="81"/>
            <rFont val="Tahoma"/>
            <family val="2"/>
          </rPr>
          <t>Den beløb, som I har fået tilbud på fra leverandør og/eller entreprenør</t>
        </r>
      </text>
    </comment>
    <comment ref="E3" authorId="0" shapeId="0" xr:uid="{00000000-0006-0000-0200-000003000000}">
      <text>
        <r>
          <rPr>
            <b/>
            <sz val="9"/>
            <color indexed="81"/>
            <rFont val="Tahoma"/>
            <family val="2"/>
          </rPr>
          <t xml:space="preserve">Afskrivningsbeløbet svarer til investeringsbeløbet divideret med antal leveår.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Neel Ploug</author>
  </authors>
  <commentList>
    <comment ref="B3" authorId="0" shapeId="0" xr:uid="{00000000-0006-0000-0400-000001000000}">
      <text>
        <r>
          <rPr>
            <b/>
            <sz val="9"/>
            <color indexed="81"/>
            <rFont val="Tahoma"/>
            <family val="2"/>
          </rPr>
          <t>Indtast hovedtal fra det godkendte regnskab, som også skal afleveres til kommunen.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Neel Ploug</author>
  </authors>
  <commentList>
    <comment ref="L31" authorId="0" shapeId="0" xr:uid="{00000000-0006-0000-0500-000001000000}">
      <text>
        <r>
          <rPr>
            <b/>
            <sz val="9"/>
            <color indexed="81"/>
            <rFont val="Tahoma"/>
            <family val="2"/>
          </rPr>
          <t>Anskaffelsessum i investeringsåret. Summen er eksklusive moms. Husk at flytte beløbet over til Anskaffelsessum, når I skal tilrette kartoteket til næste år.</t>
        </r>
      </text>
    </comment>
    <comment ref="E38" authorId="0" shapeId="0" xr:uid="{00000000-0006-0000-0500-000002000000}">
      <text>
        <r>
          <rPr>
            <b/>
            <sz val="9"/>
            <color indexed="81"/>
            <rFont val="Tahoma"/>
            <family val="2"/>
          </rPr>
          <t>Denne sektion skal kun bruges, hvis man ikke tidligere har ført et anlægskartotek.</t>
        </r>
      </text>
    </comment>
    <comment ref="F38" authorId="0" shapeId="0" xr:uid="{00000000-0006-0000-0500-000003000000}">
      <text>
        <r>
          <rPr>
            <b/>
            <sz val="9"/>
            <color indexed="81"/>
            <rFont val="Tahoma"/>
            <family val="2"/>
          </rPr>
          <t xml:space="preserve">Gennemsnitlig levetid på alle de investeringer, som vandværket har foretaget i tidligere år
</t>
        </r>
      </text>
    </comment>
    <comment ref="L38" authorId="0" shapeId="0" xr:uid="{00000000-0006-0000-0500-000004000000}">
      <text>
        <r>
          <rPr>
            <b/>
            <sz val="9"/>
            <color indexed="81"/>
            <rFont val="Tahoma"/>
            <family val="2"/>
          </rPr>
          <t>Anskaffelsessum i investeringsåret. Summen er eksklusive moms. Husk at flytte beløbet over til Anskaffelsessum, når I skal tilrette kartoteket til næste år.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Neel Ploug</author>
  </authors>
  <commentList>
    <comment ref="C29" authorId="0" shapeId="0" xr:uid="{00000000-0006-0000-0700-000001000000}">
      <text>
        <r>
          <rPr>
            <b/>
            <sz val="9"/>
            <color indexed="81"/>
            <rFont val="Tahoma"/>
            <family val="2"/>
          </rPr>
          <t>I henhold til rentelovens § 9b må vandværket ikke opkræve mere end 100 kr. i rykkergebyr</t>
        </r>
      </text>
    </comment>
  </commentList>
</comments>
</file>

<file path=xl/sharedStrings.xml><?xml version="1.0" encoding="utf-8"?>
<sst xmlns="http://schemas.openxmlformats.org/spreadsheetml/2006/main" count="382" uniqueCount="243">
  <si>
    <t>Vandværkets navn</t>
  </si>
  <si>
    <t>Vandby Vandværk A.m.b.a.</t>
  </si>
  <si>
    <t>Adresse</t>
  </si>
  <si>
    <t>Vandby Strandvej 101</t>
  </si>
  <si>
    <t>Postnummer og by</t>
  </si>
  <si>
    <t>3333 Vandby Strand</t>
  </si>
  <si>
    <t>Hjemmeside</t>
  </si>
  <si>
    <t>www.xxxxx.dk</t>
  </si>
  <si>
    <t>Telefon</t>
  </si>
  <si>
    <t>Mail</t>
  </si>
  <si>
    <t>mail@mail.dk</t>
  </si>
  <si>
    <t>Årstal for takstblad</t>
  </si>
  <si>
    <t>Seneste regnskabsår</t>
  </si>
  <si>
    <t>Antal vandmålere</t>
  </si>
  <si>
    <t>Antal boligenheder/erhvervsenheder</t>
  </si>
  <si>
    <r>
      <t>Leveret mængde m</t>
    </r>
    <r>
      <rPr>
        <vertAlign val="superscript"/>
        <sz val="11"/>
        <color theme="1"/>
        <rFont val="Calibri"/>
        <family val="2"/>
        <scheme val="minor"/>
      </rPr>
      <t>3</t>
    </r>
  </si>
  <si>
    <t>Afgiftssatser:</t>
  </si>
  <si>
    <t>Afgift af ledningsført vand (Statsafgift)</t>
  </si>
  <si>
    <t>Drikkevandsbidrag (Grundvandskortlægning)</t>
  </si>
  <si>
    <t>Afgifter i alt</t>
  </si>
  <si>
    <r>
      <t>Fordeling af takster på henholdsvis fast bidrag og m</t>
    </r>
    <r>
      <rPr>
        <b/>
        <vertAlign val="superscript"/>
        <sz val="11"/>
        <color theme="1"/>
        <rFont val="Calibri"/>
        <family val="2"/>
        <scheme val="minor"/>
      </rPr>
      <t>3</t>
    </r>
    <r>
      <rPr>
        <b/>
        <sz val="11"/>
        <color theme="1"/>
        <rFont val="Calibri"/>
        <family val="2"/>
        <scheme val="minor"/>
      </rPr>
      <t>-bidrag:</t>
    </r>
  </si>
  <si>
    <t>Fast bidrag</t>
  </si>
  <si>
    <r>
      <t>M</t>
    </r>
    <r>
      <rPr>
        <vertAlign val="superscript"/>
        <sz val="11"/>
        <color theme="1"/>
        <rFont val="Calibri"/>
        <family val="2"/>
        <scheme val="minor"/>
      </rPr>
      <t>3</t>
    </r>
    <r>
      <rPr>
        <sz val="11"/>
        <color theme="1"/>
        <rFont val="Calibri"/>
        <family val="2"/>
        <scheme val="minor"/>
      </rPr>
      <t>-bidrag</t>
    </r>
  </si>
  <si>
    <t>Alle priser er inkl. moms</t>
  </si>
  <si>
    <t>Januar</t>
  </si>
  <si>
    <t>Februar</t>
  </si>
  <si>
    <t>Marts</t>
  </si>
  <si>
    <t>April</t>
  </si>
  <si>
    <t>Maj</t>
  </si>
  <si>
    <t>Juni</t>
  </si>
  <si>
    <t>Juli</t>
  </si>
  <si>
    <t>August</t>
  </si>
  <si>
    <t>September</t>
  </si>
  <si>
    <t>Oktober</t>
  </si>
  <si>
    <t>November</t>
  </si>
  <si>
    <t>December</t>
  </si>
  <si>
    <t>Omsætning:</t>
  </si>
  <si>
    <t>Indbetalinger</t>
  </si>
  <si>
    <t>Øvringe indtægter (Gebyrer, renter)</t>
  </si>
  <si>
    <t>Moms</t>
  </si>
  <si>
    <t>Statsafgift</t>
  </si>
  <si>
    <t>Omsætning i alt</t>
  </si>
  <si>
    <t>Produktionsomkostninger:</t>
  </si>
  <si>
    <t>Vedligeholdelse</t>
  </si>
  <si>
    <t>El</t>
  </si>
  <si>
    <t>Vandanalyser og boringskontrol</t>
  </si>
  <si>
    <t>Løn, driftspersonale</t>
  </si>
  <si>
    <t>Øvrige produktionsomkostninger</t>
  </si>
  <si>
    <t>Planlagte investeringer</t>
  </si>
  <si>
    <t>Produktionsomkostninger i alt</t>
  </si>
  <si>
    <t>Distributionsomkostninger:</t>
  </si>
  <si>
    <t>Øvrige distributionsomkostninger</t>
  </si>
  <si>
    <t>Distributionsomkostninger i alt</t>
  </si>
  <si>
    <t>Administrationsomkostninger</t>
  </si>
  <si>
    <t>Bestyrelse</t>
  </si>
  <si>
    <t>Vand, varme, renovation mv.</t>
  </si>
  <si>
    <t>Generalforsamling</t>
  </si>
  <si>
    <t xml:space="preserve">Løn </t>
  </si>
  <si>
    <t>Porto og gebyrer</t>
  </si>
  <si>
    <t>Kontorartikler og telefon</t>
  </si>
  <si>
    <t>IT, hjemmeside, server mv.</t>
  </si>
  <si>
    <t>Licenser, faglitteratur og kontingenter</t>
  </si>
  <si>
    <t>Kursusudgifter</t>
  </si>
  <si>
    <t>Forbrugerinformation</t>
  </si>
  <si>
    <t>Forsikringer</t>
  </si>
  <si>
    <t>Øvrige administrationsomkostninger</t>
  </si>
  <si>
    <t>Administrationsomkostninger i alt</t>
  </si>
  <si>
    <t>Gældsafvikling</t>
  </si>
  <si>
    <t>Saldo primo</t>
  </si>
  <si>
    <t>Bevægelser</t>
  </si>
  <si>
    <t>Saldo ultimo</t>
  </si>
  <si>
    <t>I alt</t>
  </si>
  <si>
    <t>Planlagt gældsafvikling</t>
  </si>
  <si>
    <t>Udgifter i alt eks. invest. Og gældsafv.</t>
  </si>
  <si>
    <t>År</t>
  </si>
  <si>
    <t>Beløb eksklusive moms</t>
  </si>
  <si>
    <t>Levetid</t>
  </si>
  <si>
    <t>Investeringsbeløb</t>
  </si>
  <si>
    <t>Afskrivningsbeløb</t>
  </si>
  <si>
    <t>Hovedledninger</t>
  </si>
  <si>
    <t>Forsyningsledninger</t>
  </si>
  <si>
    <t>Stikledninger</t>
  </si>
  <si>
    <t>Elektroniske målere (100 stk.)</t>
  </si>
  <si>
    <t>Pumpe - udpumpning fra vandværket</t>
  </si>
  <si>
    <t>Boringsforerør</t>
  </si>
  <si>
    <t>SRO-anlæg</t>
  </si>
  <si>
    <t>Diverse</t>
  </si>
  <si>
    <t>Indsæt nye rækker over denne</t>
  </si>
  <si>
    <t>Investeringer i alt</t>
  </si>
  <si>
    <t>Indtægter</t>
  </si>
  <si>
    <t>Bidrag - fast og variabelt</t>
  </si>
  <si>
    <t>Tilslutningsbidrag</t>
  </si>
  <si>
    <t>Gebyrer</t>
  </si>
  <si>
    <t>Øvrige indtægter</t>
  </si>
  <si>
    <t>Indtægter i alt</t>
  </si>
  <si>
    <t>Produktionsomkostninger</t>
  </si>
  <si>
    <t>Afskrivninger</t>
  </si>
  <si>
    <t>Distributionsomkostninger</t>
  </si>
  <si>
    <t>Omkostninger i alt</t>
  </si>
  <si>
    <t>Resultat</t>
  </si>
  <si>
    <t>Investering i elektroniske målere medfører en højere udgift til licens.</t>
  </si>
  <si>
    <t xml:space="preserve">Bestyrelsen har besluttet at sende nyvalgte medlemmer på bestyrelseskursus. </t>
  </si>
  <si>
    <t xml:space="preserve">Bestyrelsen har besluttet at opgradere hjemmesiden, så den bliver mere brugervenlig. </t>
  </si>
  <si>
    <t>Bestyrelsen har budgetteret med en stigning i taksterne pga. øgede omkostninger.</t>
  </si>
  <si>
    <t>Bestyrelsen har besluttet at der skal betales honorar.</t>
  </si>
  <si>
    <t>Udover alm. vedligehold skal der males vægge og oprenses fliser i filterrummet.</t>
  </si>
  <si>
    <t xml:space="preserve">Derudover har bestyrelsen besluttet at øge analysekontrollen. </t>
  </si>
  <si>
    <t xml:space="preserve">Samtidig skal en ekstra sendes på hygiejnekursus. </t>
  </si>
  <si>
    <t>Værk</t>
  </si>
  <si>
    <t>Bilagsreference</t>
  </si>
  <si>
    <t>Anskaf. år</t>
  </si>
  <si>
    <t>Anlægstype</t>
  </si>
  <si>
    <t>Anlæg</t>
  </si>
  <si>
    <t>Afskrivnings-periode (år)</t>
  </si>
  <si>
    <t>Anskaffelses-sum</t>
  </si>
  <si>
    <t>Afskrivning primo</t>
  </si>
  <si>
    <t>Afskrivning i år</t>
  </si>
  <si>
    <t>Akkumuleret afskrivning</t>
  </si>
  <si>
    <t>Afgangs-år</t>
  </si>
  <si>
    <t>Rest-afskrivning</t>
  </si>
  <si>
    <t>Afgang Levetidsforl.</t>
  </si>
  <si>
    <t>Ultimo værdi</t>
  </si>
  <si>
    <t>Nye rækker under denne</t>
  </si>
  <si>
    <t>GruByg</t>
  </si>
  <si>
    <t>Levetidsforlængelse af bygning</t>
  </si>
  <si>
    <t>Varmeanlæg</t>
  </si>
  <si>
    <t>InvInst</t>
  </si>
  <si>
    <t>Filteranlæg</t>
  </si>
  <si>
    <t>Boring 1 levetidsforlænget</t>
  </si>
  <si>
    <t>EDB/Server</t>
  </si>
  <si>
    <t>Elanlæg og SRO-anlæg</t>
  </si>
  <si>
    <t>Boring</t>
  </si>
  <si>
    <t>Græsslåmaskine</t>
  </si>
  <si>
    <t>Køretøjer, små lastvogne</t>
  </si>
  <si>
    <t>Rentvandspumper på vandværk</t>
  </si>
  <si>
    <t>Slamhåndteringsanlæg</t>
  </si>
  <si>
    <t>HovLed</t>
  </si>
  <si>
    <t>Hovedledning</t>
  </si>
  <si>
    <t>Led</t>
  </si>
  <si>
    <t>Stik på ledningsnet</t>
  </si>
  <si>
    <t>Elektroniske målere</t>
  </si>
  <si>
    <t>Hovedmåler</t>
  </si>
  <si>
    <t>Forsyningsledning</t>
  </si>
  <si>
    <t>Ventiler</t>
  </si>
  <si>
    <t>Ny bygning</t>
  </si>
  <si>
    <t>Nye rækker over denne</t>
  </si>
  <si>
    <t>Samlet afskrivning for året</t>
  </si>
  <si>
    <t>Afskrivning 
primo</t>
  </si>
  <si>
    <t>Afskrivning 
i året</t>
  </si>
  <si>
    <t>Akkumuleret  afskrivning</t>
  </si>
  <si>
    <t>Afgang
Levetidsforl.</t>
  </si>
  <si>
    <t>Grunde og bygninger</t>
  </si>
  <si>
    <t>Inventar og installationer</t>
  </si>
  <si>
    <t>Ledningsnet</t>
  </si>
  <si>
    <t>Opskrivning af anlægsaktiver pga. tidligere straksafskrevet investeringer</t>
  </si>
  <si>
    <t>Gnsnit</t>
  </si>
  <si>
    <t>Hovedanlæg</t>
  </si>
  <si>
    <t>Forsyningsledningsbidrag i byzone</t>
  </si>
  <si>
    <t>Nøgletal:</t>
  </si>
  <si>
    <t>Antal meter forsyningsledning</t>
  </si>
  <si>
    <t>meter</t>
  </si>
  <si>
    <t>Antal ejendomme</t>
  </si>
  <si>
    <t>ejendomme</t>
  </si>
  <si>
    <t>Forsyningsledningsbidrag i byzone:</t>
  </si>
  <si>
    <t>Enhedspris</t>
  </si>
  <si>
    <t>Gravearbejde</t>
  </si>
  <si>
    <t>Nedgravning/skydning af ny ledning pr. meter</t>
  </si>
  <si>
    <t>Forsyningsledning pr. meter</t>
  </si>
  <si>
    <t>Ventiler, spindler m.m.</t>
  </si>
  <si>
    <t>VVS-arbejdsløn</t>
  </si>
  <si>
    <t>Pris pr. meter</t>
  </si>
  <si>
    <t>Forsyningsledningsbidrag pr. ejendom</t>
  </si>
  <si>
    <t>Forsyningsledningsbidrag i landzone</t>
  </si>
  <si>
    <t>Forsyningsledningsbidrag i landzone:</t>
  </si>
  <si>
    <t>Stikledningsbidrag</t>
  </si>
  <si>
    <t>Stikledningsbidrag:</t>
  </si>
  <si>
    <t>Samme side</t>
  </si>
  <si>
    <t>Modsatte side</t>
  </si>
  <si>
    <t>Skydning af stikledning</t>
  </si>
  <si>
    <t>Anboringsbøjle, stikledning, ventil, spindel m.m.</t>
  </si>
  <si>
    <t>Eventuelt målebrønd</t>
  </si>
  <si>
    <t>Pr. stikledning</t>
  </si>
  <si>
    <t>Afskrivningsperiode</t>
  </si>
  <si>
    <t>år</t>
  </si>
  <si>
    <t>Antal målere</t>
  </si>
  <si>
    <t>stk.</t>
  </si>
  <si>
    <t>Anskaffelsesudgifter:</t>
  </si>
  <si>
    <t>Antal</t>
  </si>
  <si>
    <t>Vandmålere inkl. evt. kontraventil</t>
  </si>
  <si>
    <t>Pris pr. målerskifte (Montering og administration)</t>
  </si>
  <si>
    <t>Øvrige udgifter ifm. målerskift</t>
  </si>
  <si>
    <t>Netværk til fjernaflæsning</t>
  </si>
  <si>
    <t>Brøndanetenner/extendere</t>
  </si>
  <si>
    <t>Udstyr til drive-by aflæsning</t>
  </si>
  <si>
    <t xml:space="preserve">Snitflade til FAS </t>
  </si>
  <si>
    <t>Hjemmeside/app til brugeradgang til målerdata</t>
  </si>
  <si>
    <t>Øvrige anskaffelsesudgifter</t>
  </si>
  <si>
    <t>Pris pr. måler i afskrivningsperioden</t>
  </si>
  <si>
    <t>Pris pr. måler pr. år</t>
  </si>
  <si>
    <t>Årlige driftsudgifter</t>
  </si>
  <si>
    <t>Masteleje til antenner</t>
  </si>
  <si>
    <t>Bredbåndsforbindelser til antenner</t>
  </si>
  <si>
    <t>Serviceaftale på netværk</t>
  </si>
  <si>
    <t>Drift af målerdata-database</t>
  </si>
  <si>
    <t>Drift af hjemmeside/app til målerdata</t>
  </si>
  <si>
    <t>Drive-by aflæsning af alle målere</t>
  </si>
  <si>
    <t>Stikprøvekontroller</t>
  </si>
  <si>
    <t>Øvrige driftsudgifter</t>
  </si>
  <si>
    <t>Afrunding</t>
  </si>
  <si>
    <t>Årlig udgift til afskrivning og drift af vandmålere</t>
  </si>
  <si>
    <t>Der betales anlægsbidrag for boligers vedkommende i forhold til antal boligenheder. Alle andre forbrugstyper betaler anlægsbidrag, i forhold til det årlige vandforbrug.</t>
  </si>
  <si>
    <t>Driftsbidrag beregnet ud fra Driftsbudget</t>
  </si>
  <si>
    <t xml:space="preserve">Ekskl. moms </t>
  </si>
  <si>
    <t xml:space="preserve">Inkl. moms </t>
  </si>
  <si>
    <t>Fast årligt bidrag pr. bolig-/erhvervsenhed</t>
  </si>
  <si>
    <t>kr.</t>
  </si>
  <si>
    <t>Fast årligt bidrag pr. måler</t>
  </si>
  <si>
    <r>
      <t>Pris pr. m</t>
    </r>
    <r>
      <rPr>
        <vertAlign val="superscript"/>
        <sz val="10"/>
        <color theme="1"/>
        <rFont val="Arial"/>
        <family val="2"/>
      </rPr>
      <t>3</t>
    </r>
  </si>
  <si>
    <r>
      <t>Statsafgift af ledningsført vand pr. m</t>
    </r>
    <r>
      <rPr>
        <vertAlign val="superscript"/>
        <sz val="10"/>
        <color theme="1"/>
        <rFont val="Arial"/>
        <family val="2"/>
      </rPr>
      <t>3</t>
    </r>
    <r>
      <rPr>
        <sz val="10"/>
        <color theme="1"/>
        <rFont val="Arial"/>
        <family val="2"/>
      </rPr>
      <t xml:space="preserve"> (Vandskat) inkl. bidrag til grundvandskortlægning.</t>
    </r>
  </si>
  <si>
    <t>Anlægsbidrag (tilslutningsafgift) Beregnet ud fra anlægskartotek</t>
  </si>
  <si>
    <t>Ekskl. Moms</t>
  </si>
  <si>
    <t>Inkl. moms</t>
  </si>
  <si>
    <t>Hovedanlægsbidrag:</t>
  </si>
  <si>
    <t>Pr. bolig-/erhvervsenhed 0 - 500 m3/år</t>
  </si>
  <si>
    <r>
      <t>Øvrige bolig-/erhvervsenheder    501 –   2.000 m</t>
    </r>
    <r>
      <rPr>
        <vertAlign val="superscript"/>
        <sz val="10"/>
        <color theme="1"/>
        <rFont val="Arial"/>
        <family val="2"/>
      </rPr>
      <t>3</t>
    </r>
    <r>
      <rPr>
        <sz val="10"/>
        <color theme="1"/>
        <rFont val="Arial"/>
        <family val="2"/>
      </rPr>
      <t>/år + 10%</t>
    </r>
  </si>
  <si>
    <r>
      <t>Øvrige bolig-/erhvervsenheder 2.001 –   5.000 m</t>
    </r>
    <r>
      <rPr>
        <vertAlign val="superscript"/>
        <sz val="10"/>
        <color theme="1"/>
        <rFont val="Arial"/>
        <family val="2"/>
      </rPr>
      <t>3</t>
    </r>
    <r>
      <rPr>
        <sz val="10"/>
        <color theme="1"/>
        <rFont val="Arial"/>
        <family val="2"/>
      </rPr>
      <t>/år + 20%</t>
    </r>
  </si>
  <si>
    <r>
      <t>Øvrige bolig-/erhvervsenheder 5.001 – 10.000 m</t>
    </r>
    <r>
      <rPr>
        <vertAlign val="superscript"/>
        <sz val="10"/>
        <color theme="1"/>
        <rFont val="Arial"/>
        <family val="2"/>
      </rPr>
      <t>3</t>
    </r>
    <r>
      <rPr>
        <sz val="10"/>
        <color theme="1"/>
        <rFont val="Arial"/>
        <family val="2"/>
      </rPr>
      <t>/år + 30%</t>
    </r>
  </si>
  <si>
    <r>
      <t>Forsyningsledningsbidrag</t>
    </r>
    <r>
      <rPr>
        <sz val="10"/>
        <color theme="1"/>
        <rFont val="Arial"/>
        <family val="2"/>
      </rPr>
      <t xml:space="preserve"> </t>
    </r>
    <r>
      <rPr>
        <b/>
        <sz val="10"/>
        <color theme="1"/>
        <rFont val="Arial"/>
        <family val="2"/>
      </rPr>
      <t xml:space="preserve">i byzone </t>
    </r>
    <r>
      <rPr>
        <sz val="10"/>
        <color theme="1"/>
        <rFont val="Arial"/>
        <family val="2"/>
      </rPr>
      <t>pr. bolig-/erhvervsenhed</t>
    </r>
  </si>
  <si>
    <r>
      <t xml:space="preserve">Forsyningsledningsbidrag i landzone </t>
    </r>
    <r>
      <rPr>
        <sz val="10"/>
        <color theme="1"/>
        <rFont val="Arial"/>
        <family val="2"/>
      </rPr>
      <t>pr. bolig-/erhvervsenhed</t>
    </r>
  </si>
  <si>
    <t>Stikledningsbidrag pr. stk</t>
  </si>
  <si>
    <t>Kr.</t>
  </si>
  <si>
    <r>
      <t>Forbrug over 10.000 m</t>
    </r>
    <r>
      <rPr>
        <vertAlign val="superscript"/>
        <sz val="10"/>
        <color theme="1"/>
        <rFont val="Arial"/>
        <family val="2"/>
      </rPr>
      <t>3</t>
    </r>
    <r>
      <rPr>
        <sz val="10"/>
        <color theme="1"/>
        <rFont val="Arial"/>
        <family val="2"/>
      </rPr>
      <t xml:space="preserve"> fastlægges efter forhandling og godkendelse af kommunalbestyrelsen.</t>
    </r>
  </si>
  <si>
    <t>Kontakt vandværket ved vandspild fra skjult ledning, hvor det eventuelt vil være muligt at få refusion af afgift for ledningsført vand (statsafgift, vandskat) og vandafgift til vandværket jfr. gældende lovgivning.</t>
  </si>
  <si>
    <t>Ekskl. moms</t>
  </si>
  <si>
    <t>Rykkegebyr ved manglende betaling</t>
  </si>
  <si>
    <t xml:space="preserve">Momsfrit </t>
  </si>
  <si>
    <t xml:space="preserve">For sen indsendelse af selvaflæsningskort </t>
  </si>
  <si>
    <t>Skøn af vandforbrug pga. manglende aflæsning</t>
  </si>
  <si>
    <t>Forgæves kørsel efter aftale til forbruger</t>
  </si>
  <si>
    <t>Lukke gebyr</t>
  </si>
  <si>
    <t>Momsfrit</t>
  </si>
  <si>
    <t>Genåbningsgebyr</t>
  </si>
  <si>
    <t>Drifts- og anlægsbidrag godkendt af__________________ kommunalbestyrelse, den_____ /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</si>
</sst>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 ##\ ##\ ##"/>
  </numFmts>
  <fonts count="30"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8"/>
      <name val="Arial"/>
      <family val="2"/>
    </font>
    <font>
      <sz val="11"/>
      <name val="Arial"/>
      <family val="2"/>
    </font>
    <font>
      <sz val="10"/>
      <name val="Arial"/>
      <family val="2"/>
    </font>
    <font>
      <b/>
      <sz val="10"/>
      <name val="Arial"/>
      <family val="2"/>
    </font>
    <font>
      <u/>
      <sz val="10"/>
      <color indexed="12"/>
      <name val="Arial"/>
      <family val="2"/>
    </font>
    <font>
      <sz val="10"/>
      <color indexed="8"/>
      <name val="Arial"/>
      <family val="2"/>
    </font>
    <font>
      <b/>
      <sz val="12"/>
      <color theme="1"/>
      <name val="Calibri"/>
      <family val="2"/>
      <scheme val="minor"/>
    </font>
    <font>
      <b/>
      <sz val="14"/>
      <color theme="1"/>
      <name val="Calibri"/>
      <family val="2"/>
      <scheme val="minor"/>
    </font>
    <font>
      <i/>
      <u/>
      <sz val="11"/>
      <color theme="1"/>
      <name val="Calibri"/>
      <family val="2"/>
      <scheme val="minor"/>
    </font>
    <font>
      <b/>
      <sz val="9"/>
      <color indexed="81"/>
      <name val="Tahoma"/>
      <family val="2"/>
    </font>
    <font>
      <i/>
      <sz val="10"/>
      <color theme="1"/>
      <name val="Calibri"/>
      <family val="2"/>
      <scheme val="minor"/>
    </font>
    <font>
      <b/>
      <i/>
      <sz val="10"/>
      <name val="Arial"/>
      <family val="2"/>
    </font>
    <font>
      <b/>
      <sz val="16"/>
      <color theme="1"/>
      <name val="Calibri"/>
      <family val="2"/>
      <scheme val="minor"/>
    </font>
    <font>
      <b/>
      <sz val="16"/>
      <name val="Arial"/>
      <family val="2"/>
    </font>
    <font>
      <b/>
      <sz val="10"/>
      <color theme="1"/>
      <name val="Arial"/>
      <family val="2"/>
    </font>
    <font>
      <sz val="11"/>
      <color theme="1"/>
      <name val="Arial"/>
      <family val="2"/>
    </font>
    <font>
      <b/>
      <sz val="11"/>
      <color theme="1"/>
      <name val="Arial"/>
      <family val="2"/>
    </font>
    <font>
      <b/>
      <sz val="16"/>
      <color theme="1"/>
      <name val="Arial"/>
      <family val="2"/>
    </font>
    <font>
      <sz val="10"/>
      <color theme="1"/>
      <name val="Arial"/>
      <family val="2"/>
    </font>
    <font>
      <vertAlign val="superscript"/>
      <sz val="10"/>
      <color theme="1"/>
      <name val="Arial"/>
      <family val="2"/>
    </font>
    <font>
      <b/>
      <sz val="12"/>
      <color theme="1"/>
      <name val="Arial"/>
      <family val="2"/>
    </font>
    <font>
      <sz val="12"/>
      <color theme="1"/>
      <name val="Arial"/>
      <family val="2"/>
    </font>
    <font>
      <sz val="11"/>
      <color indexed="8"/>
      <name val="Arial"/>
      <family val="2"/>
    </font>
    <font>
      <b/>
      <vertAlign val="superscript"/>
      <sz val="11"/>
      <color theme="1"/>
      <name val="Calibri"/>
      <family val="2"/>
      <scheme val="minor"/>
    </font>
    <font>
      <vertAlign val="superscript"/>
      <sz val="11"/>
      <color theme="1"/>
      <name val="Calibri"/>
      <family val="2"/>
      <scheme val="minor"/>
    </font>
    <font>
      <b/>
      <sz val="18"/>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ECFF"/>
        <bgColor indexed="64"/>
      </patternFill>
    </fill>
    <fill>
      <patternFill patternType="solid">
        <fgColor theme="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2" fillId="0" borderId="0" applyFont="0" applyFill="0" applyBorder="0" applyAlignment="0" applyProtection="0"/>
    <xf numFmtId="0" fontId="8" fillId="0" borderId="0" applyNumberFormat="0" applyFill="0" applyBorder="0" applyAlignment="0" applyProtection="0">
      <alignment vertical="top"/>
      <protection locked="0"/>
    </xf>
  </cellStyleXfs>
  <cellXfs count="243">
    <xf numFmtId="0" fontId="0" fillId="0" borderId="0" xfId="0"/>
    <xf numFmtId="0" fontId="1" fillId="0" borderId="0" xfId="0" applyFont="1"/>
    <xf numFmtId="0" fontId="0" fillId="0" borderId="0" xfId="0" applyFill="1"/>
    <xf numFmtId="165" fontId="0" fillId="0" borderId="0" xfId="1" applyNumberFormat="1" applyFont="1"/>
    <xf numFmtId="0" fontId="7" fillId="0" borderId="0" xfId="0" applyFont="1"/>
    <xf numFmtId="3" fontId="0" fillId="0" borderId="0" xfId="1" applyNumberFormat="1" applyFont="1"/>
    <xf numFmtId="3" fontId="0" fillId="0" borderId="0" xfId="1" applyNumberFormat="1" applyFont="1" applyFill="1"/>
    <xf numFmtId="165" fontId="1" fillId="0" borderId="0" xfId="1" applyNumberFormat="1" applyFont="1"/>
    <xf numFmtId="0" fontId="1" fillId="0" borderId="0" xfId="0" applyFont="1" applyAlignment="1">
      <alignment horizontal="right"/>
    </xf>
    <xf numFmtId="3" fontId="1" fillId="0" borderId="0" xfId="1" applyNumberFormat="1" applyFont="1"/>
    <xf numFmtId="0" fontId="14" fillId="0" borderId="0" xfId="0" applyFont="1"/>
    <xf numFmtId="0" fontId="0" fillId="0" borderId="0" xfId="0" applyAlignment="1" applyProtection="1">
      <alignment horizontal="center"/>
    </xf>
    <xf numFmtId="0" fontId="0" fillId="0" borderId="11" xfId="0" applyBorder="1"/>
    <xf numFmtId="0" fontId="0" fillId="0" borderId="12" xfId="0" applyBorder="1"/>
    <xf numFmtId="0" fontId="0" fillId="0" borderId="13" xfId="0" applyBorder="1"/>
    <xf numFmtId="0" fontId="1" fillId="0" borderId="11" xfId="0" applyFont="1" applyBorder="1"/>
    <xf numFmtId="0" fontId="0" fillId="0" borderId="0" xfId="0" applyProtection="1"/>
    <xf numFmtId="0" fontId="4" fillId="0" borderId="0" xfId="0" applyFont="1" applyAlignment="1" applyProtection="1">
      <alignment horizontal="center"/>
    </xf>
    <xf numFmtId="0" fontId="4" fillId="0" borderId="0" xfId="0" applyFont="1" applyAlignment="1" applyProtection="1"/>
    <xf numFmtId="0" fontId="0" fillId="0" borderId="11" xfId="0" applyFill="1" applyBorder="1"/>
    <xf numFmtId="3" fontId="0" fillId="4" borderId="13" xfId="0" applyNumberFormat="1" applyFill="1" applyBorder="1" applyProtection="1">
      <protection locked="0"/>
    </xf>
    <xf numFmtId="3" fontId="0" fillId="0" borderId="13" xfId="0" applyNumberFormat="1" applyBorder="1"/>
    <xf numFmtId="0" fontId="12" fillId="0" borderId="12" xfId="0" applyFont="1" applyBorder="1"/>
    <xf numFmtId="4" fontId="0" fillId="4" borderId="13" xfId="0" applyNumberFormat="1" applyFill="1" applyBorder="1" applyProtection="1">
      <protection locked="0"/>
    </xf>
    <xf numFmtId="0" fontId="1" fillId="0" borderId="12" xfId="0" applyFont="1" applyBorder="1"/>
    <xf numFmtId="9" fontId="0" fillId="4" borderId="13" xfId="0" applyNumberFormat="1" applyFill="1" applyBorder="1" applyProtection="1">
      <protection locked="0"/>
    </xf>
    <xf numFmtId="1" fontId="0" fillId="4" borderId="13" xfId="0" applyNumberFormat="1" applyFill="1" applyBorder="1" applyProtection="1">
      <protection locked="0"/>
    </xf>
    <xf numFmtId="3" fontId="1" fillId="0" borderId="0" xfId="0" applyNumberFormat="1" applyFont="1"/>
    <xf numFmtId="0" fontId="19" fillId="0" borderId="0" xfId="0" applyFont="1" applyProtection="1"/>
    <xf numFmtId="0" fontId="19" fillId="4" borderId="10" xfId="0" applyFont="1" applyFill="1" applyBorder="1" applyProtection="1">
      <protection locked="0"/>
    </xf>
    <xf numFmtId="0" fontId="19" fillId="0" borderId="0" xfId="0" applyFont="1" applyProtection="1">
      <protection locked="0"/>
    </xf>
    <xf numFmtId="3" fontId="19" fillId="4" borderId="10" xfId="0" applyNumberFormat="1" applyFont="1" applyFill="1" applyBorder="1" applyAlignment="1" applyProtection="1">
      <alignment horizontal="right"/>
      <protection locked="0"/>
    </xf>
    <xf numFmtId="0" fontId="19" fillId="2" borderId="10" xfId="0" applyFont="1" applyFill="1" applyBorder="1" applyProtection="1">
      <protection locked="0"/>
    </xf>
    <xf numFmtId="0" fontId="20" fillId="2" borderId="10" xfId="0" applyFont="1" applyFill="1" applyBorder="1" applyProtection="1">
      <protection locked="0"/>
    </xf>
    <xf numFmtId="0" fontId="19" fillId="0" borderId="10" xfId="0" applyFont="1" applyBorder="1" applyProtection="1"/>
    <xf numFmtId="0" fontId="19" fillId="0" borderId="12" xfId="0" applyFont="1" applyBorder="1" applyProtection="1"/>
    <xf numFmtId="0" fontId="19" fillId="0" borderId="13" xfId="0" applyFont="1" applyBorder="1" applyProtection="1"/>
    <xf numFmtId="3" fontId="19" fillId="0" borderId="10" xfId="0" applyNumberFormat="1" applyFont="1" applyBorder="1" applyAlignment="1" applyProtection="1">
      <alignment horizontal="right"/>
    </xf>
    <xf numFmtId="0" fontId="20" fillId="0" borderId="9" xfId="0" applyFont="1" applyBorder="1" applyProtection="1"/>
    <xf numFmtId="0" fontId="20" fillId="0" borderId="11" xfId="0" applyFont="1" applyBorder="1" applyProtection="1"/>
    <xf numFmtId="0" fontId="20" fillId="0" borderId="13" xfId="0" applyFont="1" applyBorder="1" applyProtection="1"/>
    <xf numFmtId="3" fontId="20" fillId="0" borderId="10" xfId="0" applyNumberFormat="1" applyFont="1" applyBorder="1" applyProtection="1"/>
    <xf numFmtId="3" fontId="1" fillId="0" borderId="0" xfId="1" applyNumberFormat="1" applyFont="1" applyProtection="1">
      <protection locked="0"/>
    </xf>
    <xf numFmtId="3" fontId="0" fillId="0" borderId="0" xfId="0" applyNumberFormat="1" applyAlignment="1" applyProtection="1">
      <alignment horizontal="right"/>
    </xf>
    <xf numFmtId="3" fontId="0" fillId="0" borderId="0" xfId="0" applyNumberFormat="1" applyProtection="1"/>
    <xf numFmtId="0" fontId="0" fillId="0" borderId="0" xfId="0" applyBorder="1" applyProtection="1"/>
    <xf numFmtId="0" fontId="0" fillId="0" borderId="10" xfId="0" applyBorder="1"/>
    <xf numFmtId="1" fontId="0" fillId="0" borderId="13" xfId="0" applyNumberFormat="1" applyFill="1" applyBorder="1" applyProtection="1"/>
    <xf numFmtId="0" fontId="0" fillId="0" borderId="0" xfId="0" applyFont="1"/>
    <xf numFmtId="3" fontId="0" fillId="0" borderId="0" xfId="0" applyNumberFormat="1" applyFont="1"/>
    <xf numFmtId="0" fontId="1" fillId="0" borderId="14" xfId="0" applyFont="1" applyBorder="1"/>
    <xf numFmtId="165" fontId="1" fillId="0" borderId="14" xfId="1" applyNumberFormat="1" applyFont="1" applyBorder="1"/>
    <xf numFmtId="0" fontId="1" fillId="0" borderId="10" xfId="0" applyFont="1" applyBorder="1" applyAlignment="1" applyProtection="1">
      <alignment horizontal="center"/>
    </xf>
    <xf numFmtId="3" fontId="7" fillId="0" borderId="10" xfId="0" applyNumberFormat="1" applyFont="1" applyBorder="1" applyAlignment="1" applyProtection="1">
      <alignment horizontal="center" wrapText="1"/>
    </xf>
    <xf numFmtId="3" fontId="1" fillId="0" borderId="10" xfId="0" applyNumberFormat="1" applyFont="1" applyBorder="1" applyAlignment="1" applyProtection="1">
      <alignment horizontal="center" wrapText="1"/>
    </xf>
    <xf numFmtId="164" fontId="18" fillId="0" borderId="8" xfId="1" applyFont="1" applyBorder="1" applyAlignment="1" applyProtection="1">
      <alignment horizontal="right" vertical="center" wrapText="1"/>
    </xf>
    <xf numFmtId="0" fontId="14" fillId="0" borderId="0" xfId="0" applyFont="1" applyAlignment="1" applyProtection="1">
      <alignment horizontal="center"/>
    </xf>
    <xf numFmtId="165" fontId="0" fillId="0" borderId="0" xfId="1" applyNumberFormat="1" applyFont="1" applyProtection="1"/>
    <xf numFmtId="0" fontId="14" fillId="0" borderId="0" xfId="0" applyFont="1" applyProtection="1"/>
    <xf numFmtId="0" fontId="1" fillId="3" borderId="10" xfId="0" applyFont="1" applyFill="1" applyBorder="1" applyProtection="1"/>
    <xf numFmtId="0" fontId="1" fillId="3" borderId="10" xfId="1" applyNumberFormat="1" applyFont="1" applyFill="1" applyBorder="1" applyAlignment="1" applyProtection="1">
      <alignment horizontal="right"/>
    </xf>
    <xf numFmtId="0" fontId="10" fillId="0" borderId="0" xfId="0" applyFont="1" applyProtection="1"/>
    <xf numFmtId="0" fontId="1" fillId="0" borderId="2" xfId="0" applyFont="1" applyBorder="1" applyProtection="1"/>
    <xf numFmtId="3" fontId="0" fillId="0" borderId="2" xfId="1" applyNumberFormat="1" applyFont="1" applyBorder="1" applyProtection="1"/>
    <xf numFmtId="3" fontId="1" fillId="0" borderId="2" xfId="1" applyNumberFormat="1" applyFont="1" applyBorder="1" applyProtection="1"/>
    <xf numFmtId="0" fontId="0" fillId="0" borderId="2" xfId="0" applyBorder="1" applyProtection="1"/>
    <xf numFmtId="0" fontId="1" fillId="0" borderId="1" xfId="0" applyFont="1" applyBorder="1" applyProtection="1"/>
    <xf numFmtId="3" fontId="1" fillId="0" borderId="1" xfId="1" applyNumberFormat="1" applyFont="1" applyBorder="1" applyProtection="1"/>
    <xf numFmtId="3" fontId="1" fillId="0" borderId="0" xfId="0" applyNumberFormat="1" applyFont="1" applyProtection="1"/>
    <xf numFmtId="0" fontId="1" fillId="0" borderId="0" xfId="0" applyFont="1" applyProtection="1"/>
    <xf numFmtId="0" fontId="3" fillId="0" borderId="2" xfId="0" applyFont="1" applyBorder="1" applyProtection="1"/>
    <xf numFmtId="3" fontId="3" fillId="0" borderId="2" xfId="1" applyNumberFormat="1" applyFont="1" applyBorder="1" applyProtection="1"/>
    <xf numFmtId="3" fontId="3" fillId="0" borderId="0" xfId="0" applyNumberFormat="1" applyFont="1" applyProtection="1"/>
    <xf numFmtId="0" fontId="3" fillId="0" borderId="0" xfId="0" applyFont="1" applyProtection="1"/>
    <xf numFmtId="0" fontId="1" fillId="0" borderId="3" xfId="0" applyFont="1" applyBorder="1" applyProtection="1"/>
    <xf numFmtId="3" fontId="1" fillId="0" borderId="3" xfId="1" applyNumberFormat="1" applyFont="1" applyBorder="1" applyProtection="1"/>
    <xf numFmtId="3" fontId="0" fillId="0" borderId="0" xfId="1" applyNumberFormat="1" applyFont="1" applyProtection="1"/>
    <xf numFmtId="0" fontId="0" fillId="0" borderId="10" xfId="0" applyBorder="1" applyProtection="1"/>
    <xf numFmtId="3" fontId="0" fillId="0" borderId="10" xfId="1" applyNumberFormat="1" applyFont="1" applyBorder="1" applyProtection="1"/>
    <xf numFmtId="0" fontId="0" fillId="5" borderId="2" xfId="0" applyFill="1" applyBorder="1" applyProtection="1">
      <protection locked="0"/>
    </xf>
    <xf numFmtId="3" fontId="0" fillId="5" borderId="2" xfId="1" applyNumberFormat="1" applyFont="1" applyFill="1" applyBorder="1" applyProtection="1">
      <protection locked="0"/>
    </xf>
    <xf numFmtId="0" fontId="0" fillId="5" borderId="2" xfId="0" applyFont="1" applyFill="1" applyBorder="1" applyProtection="1">
      <protection locked="0"/>
    </xf>
    <xf numFmtId="3" fontId="1" fillId="5" borderId="1" xfId="1" applyNumberFormat="1" applyFont="1" applyFill="1" applyBorder="1" applyProtection="1">
      <protection locked="0"/>
    </xf>
    <xf numFmtId="0" fontId="0" fillId="5" borderId="0" xfId="0" applyFont="1" applyFill="1" applyProtection="1">
      <protection locked="0"/>
    </xf>
    <xf numFmtId="3" fontId="0" fillId="5" borderId="0" xfId="1" applyNumberFormat="1" applyFont="1" applyFill="1" applyProtection="1">
      <protection locked="0"/>
    </xf>
    <xf numFmtId="0" fontId="0" fillId="5" borderId="4" xfId="0" applyFont="1" applyFill="1" applyBorder="1" applyProtection="1">
      <protection locked="0"/>
    </xf>
    <xf numFmtId="3" fontId="0" fillId="5" borderId="4" xfId="1" applyNumberFormat="1" applyFont="1" applyFill="1" applyBorder="1" applyProtection="1">
      <protection locked="0"/>
    </xf>
    <xf numFmtId="3" fontId="0" fillId="5" borderId="0" xfId="0" applyNumberFormat="1" applyFont="1" applyFill="1" applyProtection="1">
      <protection locked="0"/>
    </xf>
    <xf numFmtId="3" fontId="0" fillId="5" borderId="4" xfId="0" applyNumberFormat="1" applyFont="1" applyFill="1" applyBorder="1" applyProtection="1">
      <protection locked="0"/>
    </xf>
    <xf numFmtId="0" fontId="7" fillId="0" borderId="10" xfId="0" applyFont="1" applyBorder="1" applyProtection="1"/>
    <xf numFmtId="0" fontId="0" fillId="0" borderId="10" xfId="0" applyBorder="1" applyAlignment="1" applyProtection="1">
      <alignment horizontal="center" wrapText="1"/>
    </xf>
    <xf numFmtId="0" fontId="0" fillId="0" borderId="10" xfId="0" applyBorder="1" applyAlignment="1" applyProtection="1">
      <alignment horizontal="center"/>
    </xf>
    <xf numFmtId="0" fontId="6" fillId="0" borderId="10" xfId="0" applyFont="1" applyBorder="1" applyProtection="1"/>
    <xf numFmtId="3" fontId="0" fillId="0" borderId="10" xfId="0" applyNumberFormat="1" applyBorder="1" applyAlignment="1" applyProtection="1">
      <alignment horizontal="right"/>
    </xf>
    <xf numFmtId="3" fontId="1" fillId="0" borderId="10" xfId="0" applyNumberFormat="1" applyFont="1" applyBorder="1" applyAlignment="1" applyProtection="1">
      <alignment horizontal="right"/>
    </xf>
    <xf numFmtId="0" fontId="7" fillId="0" borderId="10" xfId="0" applyFont="1" applyBorder="1" applyAlignment="1" applyProtection="1">
      <alignment wrapText="1"/>
    </xf>
    <xf numFmtId="3" fontId="0" fillId="0" borderId="10" xfId="0" applyNumberFormat="1" applyBorder="1" applyProtection="1"/>
    <xf numFmtId="0" fontId="7" fillId="0" borderId="10" xfId="0" applyFont="1" applyBorder="1" applyAlignment="1" applyProtection="1">
      <alignment horizontal="center"/>
    </xf>
    <xf numFmtId="0" fontId="7" fillId="0" borderId="12" xfId="0" applyFont="1" applyBorder="1" applyProtection="1"/>
    <xf numFmtId="0" fontId="7" fillId="0" borderId="12" xfId="0" applyFont="1" applyBorder="1" applyAlignment="1" applyProtection="1">
      <alignment horizontal="center"/>
    </xf>
    <xf numFmtId="3" fontId="0" fillId="0" borderId="12" xfId="0" applyNumberFormat="1" applyBorder="1" applyAlignment="1" applyProtection="1">
      <alignment horizontal="right"/>
    </xf>
    <xf numFmtId="0" fontId="0" fillId="0" borderId="12" xfId="0" applyBorder="1" applyProtection="1"/>
    <xf numFmtId="0" fontId="0" fillId="0" borderId="10" xfId="0" applyFill="1" applyBorder="1" applyAlignment="1" applyProtection="1">
      <alignment horizontal="center"/>
    </xf>
    <xf numFmtId="3" fontId="0" fillId="6" borderId="10" xfId="0" applyNumberFormat="1" applyFill="1" applyBorder="1" applyAlignment="1" applyProtection="1">
      <alignment horizontal="right"/>
    </xf>
    <xf numFmtId="0" fontId="7" fillId="0" borderId="10" xfId="0" applyFont="1" applyBorder="1"/>
    <xf numFmtId="3" fontId="1" fillId="0" borderId="10" xfId="0" applyNumberFormat="1" applyFont="1" applyBorder="1" applyAlignment="1">
      <alignment horizontal="right"/>
    </xf>
    <xf numFmtId="0" fontId="1" fillId="0" borderId="10" xfId="0" applyFont="1" applyBorder="1" applyAlignment="1">
      <alignment horizontal="right"/>
    </xf>
    <xf numFmtId="0" fontId="6" fillId="0" borderId="10" xfId="0" applyFont="1" applyBorder="1"/>
    <xf numFmtId="3" fontId="0" fillId="5" borderId="10" xfId="0" applyNumberFormat="1" applyFont="1" applyFill="1" applyBorder="1" applyProtection="1">
      <protection locked="0"/>
    </xf>
    <xf numFmtId="3" fontId="0" fillId="0" borderId="10" xfId="0" applyNumberFormat="1" applyFont="1" applyFill="1" applyBorder="1" applyProtection="1"/>
    <xf numFmtId="0" fontId="9" fillId="0" borderId="10" xfId="2" applyFont="1" applyFill="1" applyBorder="1" applyAlignment="1" applyProtection="1"/>
    <xf numFmtId="3" fontId="1" fillId="0" borderId="10" xfId="0" applyNumberFormat="1" applyFont="1" applyFill="1" applyBorder="1" applyProtection="1"/>
    <xf numFmtId="0" fontId="1" fillId="0" borderId="10" xfId="0" applyFont="1" applyBorder="1"/>
    <xf numFmtId="0" fontId="0" fillId="5" borderId="10" xfId="0" applyFill="1" applyBorder="1" applyProtection="1">
      <protection locked="0"/>
    </xf>
    <xf numFmtId="3" fontId="0" fillId="0" borderId="10" xfId="0" applyNumberFormat="1" applyBorder="1"/>
    <xf numFmtId="3" fontId="0" fillId="5" borderId="10" xfId="0" applyNumberFormat="1" applyFill="1" applyBorder="1" applyProtection="1">
      <protection locked="0"/>
    </xf>
    <xf numFmtId="3" fontId="1" fillId="0" borderId="10" xfId="0" applyNumberFormat="1" applyFont="1" applyBorder="1"/>
    <xf numFmtId="0" fontId="14" fillId="0" borderId="0" xfId="0" applyFont="1" applyAlignment="1" applyProtection="1"/>
    <xf numFmtId="0" fontId="0" fillId="0" borderId="10" xfId="0" applyFont="1" applyBorder="1"/>
    <xf numFmtId="3" fontId="0" fillId="0" borderId="10" xfId="0" applyNumberFormat="1" applyFont="1" applyBorder="1"/>
    <xf numFmtId="0" fontId="18" fillId="0" borderId="0" xfId="0" applyFont="1" applyAlignment="1" applyProtection="1">
      <alignment vertical="center"/>
    </xf>
    <xf numFmtId="164" fontId="19" fillId="0" borderId="0" xfId="1" applyFont="1" applyProtection="1"/>
    <xf numFmtId="0" fontId="24" fillId="0" borderId="0" xfId="0" applyFont="1" applyAlignment="1" applyProtection="1">
      <alignment vertical="center"/>
    </xf>
    <xf numFmtId="0" fontId="25" fillId="0" borderId="0" xfId="0" applyFont="1" applyProtection="1"/>
    <xf numFmtId="164" fontId="25" fillId="0" borderId="0" xfId="1" applyFont="1" applyProtection="1"/>
    <xf numFmtId="0" fontId="25" fillId="0" borderId="0" xfId="0" applyFont="1" applyAlignment="1" applyProtection="1">
      <alignment vertical="center"/>
    </xf>
    <xf numFmtId="0" fontId="25" fillId="0" borderId="0" xfId="0" applyFont="1" applyAlignment="1" applyProtection="1">
      <alignment horizontal="left" vertical="center"/>
    </xf>
    <xf numFmtId="0" fontId="18" fillId="0" borderId="5" xfId="0" applyFont="1" applyBorder="1" applyAlignment="1" applyProtection="1">
      <alignment vertical="center" wrapText="1"/>
    </xf>
    <xf numFmtId="0" fontId="18" fillId="0" borderId="6" xfId="0" applyFont="1" applyBorder="1" applyAlignment="1" applyProtection="1">
      <alignment vertical="center" wrapText="1"/>
    </xf>
    <xf numFmtId="164" fontId="18" fillId="0" borderId="6" xfId="1" applyFont="1" applyBorder="1" applyAlignment="1" applyProtection="1">
      <alignment vertical="center" wrapText="1"/>
    </xf>
    <xf numFmtId="0" fontId="22" fillId="0" borderId="7" xfId="0" applyFont="1" applyBorder="1" applyAlignment="1" applyProtection="1">
      <alignment vertical="center" wrapText="1"/>
    </xf>
    <xf numFmtId="0" fontId="22" fillId="0" borderId="8" xfId="0" applyFont="1" applyBorder="1" applyAlignment="1" applyProtection="1">
      <alignment vertical="center" wrapText="1"/>
    </xf>
    <xf numFmtId="164" fontId="22" fillId="0" borderId="8" xfId="1" applyFont="1" applyBorder="1" applyAlignment="1" applyProtection="1">
      <alignment horizontal="right" vertical="center" wrapText="1"/>
    </xf>
    <xf numFmtId="0" fontId="22" fillId="0" borderId="0" xfId="0" applyFont="1" applyAlignment="1" applyProtection="1">
      <alignment vertical="center"/>
    </xf>
    <xf numFmtId="0" fontId="22"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5" fillId="4" borderId="10" xfId="0" applyFont="1" applyFill="1" applyBorder="1" applyProtection="1">
      <protection locked="0"/>
    </xf>
    <xf numFmtId="0" fontId="5" fillId="4" borderId="10" xfId="0" applyFont="1" applyFill="1" applyBorder="1" applyAlignment="1" applyProtection="1">
      <alignment horizontal="center" wrapText="1"/>
      <protection locked="0"/>
    </xf>
    <xf numFmtId="3" fontId="5" fillId="4" borderId="10" xfId="0" applyNumberFormat="1" applyFont="1" applyFill="1" applyBorder="1" applyAlignment="1" applyProtection="1">
      <alignment horizontal="right" wrapText="1"/>
      <protection locked="0"/>
    </xf>
    <xf numFmtId="0" fontId="5" fillId="4" borderId="10" xfId="0" applyFont="1" applyFill="1" applyBorder="1" applyAlignment="1" applyProtection="1">
      <alignment horizontal="center"/>
      <protection locked="0"/>
    </xf>
    <xf numFmtId="3" fontId="5" fillId="4" borderId="10" xfId="0" applyNumberFormat="1" applyFont="1" applyFill="1" applyBorder="1" applyAlignment="1" applyProtection="1">
      <alignment horizontal="right"/>
      <protection locked="0"/>
    </xf>
    <xf numFmtId="0" fontId="26" fillId="4" borderId="10" xfId="2" applyFont="1" applyFill="1" applyBorder="1" applyAlignment="1" applyProtection="1">
      <protection locked="0"/>
    </xf>
    <xf numFmtId="164" fontId="22" fillId="0" borderId="8" xfId="1" applyFont="1" applyBorder="1" applyAlignment="1" applyProtection="1">
      <alignment vertical="center" wrapText="1"/>
    </xf>
    <xf numFmtId="164" fontId="18" fillId="0" borderId="8" xfId="1" applyFont="1" applyBorder="1" applyAlignment="1" applyProtection="1">
      <alignment vertical="center" wrapText="1"/>
    </xf>
    <xf numFmtId="0" fontId="22" fillId="0" borderId="0" xfId="0" applyFont="1" applyBorder="1" applyAlignment="1" applyProtection="1">
      <alignment vertical="center" wrapText="1"/>
    </xf>
    <xf numFmtId="164" fontId="18" fillId="0" borderId="0" xfId="1" applyFont="1" applyBorder="1" applyAlignment="1" applyProtection="1">
      <alignment horizontal="right" vertical="center" wrapText="1"/>
    </xf>
    <xf numFmtId="4" fontId="1" fillId="0" borderId="13" xfId="0" applyNumberFormat="1" applyFont="1" applyBorder="1"/>
    <xf numFmtId="0" fontId="19" fillId="4" borderId="13" xfId="0" applyFont="1" applyFill="1" applyBorder="1" applyProtection="1">
      <protection locked="0"/>
    </xf>
    <xf numFmtId="0" fontId="15" fillId="3" borderId="3" xfId="0" applyFont="1" applyFill="1" applyBorder="1" applyProtection="1"/>
    <xf numFmtId="0" fontId="7" fillId="3" borderId="3" xfId="0" applyFont="1" applyFill="1" applyBorder="1" applyAlignment="1" applyProtection="1">
      <alignment horizontal="center"/>
    </xf>
    <xf numFmtId="0" fontId="7" fillId="3" borderId="3" xfId="0" applyFont="1" applyFill="1" applyBorder="1" applyAlignment="1" applyProtection="1">
      <alignment horizontal="right"/>
    </xf>
    <xf numFmtId="0" fontId="7" fillId="3" borderId="16" xfId="0" applyFont="1" applyFill="1" applyBorder="1" applyAlignment="1" applyProtection="1">
      <alignment horizontal="right"/>
    </xf>
    <xf numFmtId="0" fontId="19" fillId="4" borderId="9" xfId="0" applyFont="1" applyFill="1" applyBorder="1" applyProtection="1">
      <protection locked="0"/>
    </xf>
    <xf numFmtId="0" fontId="19" fillId="4" borderId="1" xfId="0" applyFont="1" applyFill="1" applyBorder="1" applyProtection="1">
      <protection locked="0"/>
    </xf>
    <xf numFmtId="0" fontId="7" fillId="3" borderId="15" xfId="0" applyFont="1" applyFill="1" applyBorder="1" applyAlignment="1" applyProtection="1">
      <alignment horizontal="right"/>
    </xf>
    <xf numFmtId="0" fontId="19" fillId="4" borderId="10" xfId="2" applyFont="1" applyFill="1" applyBorder="1" applyAlignment="1" applyProtection="1">
      <protection locked="0"/>
    </xf>
    <xf numFmtId="0" fontId="19" fillId="4" borderId="10" xfId="0" applyFont="1" applyFill="1" applyBorder="1" applyAlignment="1" applyProtection="1">
      <alignment horizontal="center"/>
      <protection locked="0"/>
    </xf>
    <xf numFmtId="0" fontId="0" fillId="0" borderId="0" xfId="0" applyAlignment="1" applyProtection="1">
      <alignment horizontal="left"/>
    </xf>
    <xf numFmtId="3" fontId="1" fillId="5" borderId="2" xfId="1" applyNumberFormat="1" applyFont="1" applyFill="1" applyBorder="1" applyProtection="1">
      <protection locked="0"/>
    </xf>
    <xf numFmtId="3" fontId="1" fillId="0" borderId="10" xfId="1" applyNumberFormat="1" applyFont="1" applyBorder="1" applyAlignment="1" applyProtection="1">
      <alignment horizontal="right"/>
    </xf>
    <xf numFmtId="165" fontId="1" fillId="0" borderId="0" xfId="1" applyNumberFormat="1" applyFont="1" applyProtection="1"/>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5" borderId="10" xfId="0" applyFill="1" applyBorder="1"/>
    <xf numFmtId="0" fontId="0" fillId="5" borderId="10" xfId="0" applyFill="1" applyBorder="1" applyAlignment="1">
      <alignment horizontal="center"/>
    </xf>
    <xf numFmtId="3" fontId="0" fillId="5" borderId="10" xfId="0" applyNumberFormat="1" applyFill="1" applyBorder="1"/>
    <xf numFmtId="49" fontId="0" fillId="5" borderId="10" xfId="0" applyNumberFormat="1" applyFill="1" applyBorder="1"/>
    <xf numFmtId="0" fontId="1" fillId="5" borderId="10" xfId="0" applyFont="1" applyFill="1" applyBorder="1"/>
    <xf numFmtId="0" fontId="0" fillId="2" borderId="10" xfId="0" applyFill="1" applyBorder="1"/>
    <xf numFmtId="49" fontId="0" fillId="2" borderId="10" xfId="0" applyNumberFormat="1" applyFill="1" applyBorder="1"/>
    <xf numFmtId="0" fontId="0" fillId="2" borderId="10" xfId="0" applyFill="1" applyBorder="1" applyAlignment="1">
      <alignment horizontal="center"/>
    </xf>
    <xf numFmtId="3" fontId="0" fillId="2" borderId="10" xfId="0" applyNumberFormat="1" applyFill="1" applyBorder="1"/>
    <xf numFmtId="3" fontId="0" fillId="4" borderId="10" xfId="0" applyNumberFormat="1" applyFill="1" applyBorder="1" applyAlignment="1" applyProtection="1">
      <alignment horizontal="right"/>
      <protection locked="0"/>
    </xf>
    <xf numFmtId="49" fontId="0" fillId="5" borderId="10" xfId="0" applyNumberFormat="1" applyFill="1" applyBorder="1" applyProtection="1">
      <protection locked="0"/>
    </xf>
    <xf numFmtId="0" fontId="0" fillId="5" borderId="10" xfId="0" applyFill="1" applyBorder="1" applyAlignment="1" applyProtection="1">
      <alignment horizontal="center"/>
      <protection locked="0"/>
    </xf>
    <xf numFmtId="0" fontId="0" fillId="0" borderId="10" xfId="0" applyBorder="1" applyProtection="1">
      <protection locked="0"/>
    </xf>
    <xf numFmtId="0" fontId="0" fillId="0" borderId="10" xfId="0" applyFill="1" applyBorder="1"/>
    <xf numFmtId="0" fontId="1" fillId="2" borderId="10" xfId="0" applyFont="1" applyFill="1" applyBorder="1"/>
    <xf numFmtId="164" fontId="22" fillId="4" borderId="8" xfId="1" applyFont="1" applyFill="1" applyBorder="1" applyAlignment="1" applyProtection="1">
      <alignment horizontal="right" vertical="center" wrapText="1"/>
      <protection locked="0"/>
    </xf>
    <xf numFmtId="3" fontId="0" fillId="5" borderId="18" xfId="0" applyNumberFormat="1" applyFill="1" applyBorder="1" applyProtection="1">
      <protection locked="0"/>
    </xf>
    <xf numFmtId="3" fontId="0" fillId="5" borderId="21" xfId="0" applyNumberFormat="1" applyFill="1" applyBorder="1" applyProtection="1">
      <protection locked="0"/>
    </xf>
    <xf numFmtId="0" fontId="16" fillId="0" borderId="0" xfId="0" applyFont="1" applyAlignment="1" applyProtection="1"/>
    <xf numFmtId="0" fontId="0" fillId="0" borderId="17" xfId="0" applyFont="1" applyBorder="1" applyProtection="1"/>
    <xf numFmtId="0" fontId="0" fillId="0" borderId="19" xfId="0" applyBorder="1" applyProtection="1"/>
    <xf numFmtId="0" fontId="0" fillId="0" borderId="20" xfId="0" applyFont="1" applyBorder="1" applyProtection="1"/>
    <xf numFmtId="0" fontId="0" fillId="0" borderId="22" xfId="0" applyBorder="1" applyProtection="1"/>
    <xf numFmtId="0" fontId="7" fillId="0" borderId="25" xfId="0" applyFont="1" applyBorder="1" applyProtection="1"/>
    <xf numFmtId="3" fontId="1" fillId="0" borderId="26" xfId="0" applyNumberFormat="1" applyFont="1" applyBorder="1" applyAlignment="1" applyProtection="1">
      <alignment horizontal="right"/>
    </xf>
    <xf numFmtId="0" fontId="1" fillId="0" borderId="27" xfId="0" applyFont="1" applyBorder="1" applyAlignment="1" applyProtection="1">
      <alignment horizontal="right"/>
    </xf>
    <xf numFmtId="3" fontId="0" fillId="0" borderId="19" xfId="0" applyNumberFormat="1" applyBorder="1" applyProtection="1"/>
    <xf numFmtId="3" fontId="0" fillId="0" borderId="24" xfId="0" applyNumberFormat="1" applyBorder="1" applyProtection="1"/>
    <xf numFmtId="3" fontId="0" fillId="0" borderId="22" xfId="0" applyNumberFormat="1" applyBorder="1" applyProtection="1"/>
    <xf numFmtId="0" fontId="7" fillId="0" borderId="28" xfId="0" applyFont="1" applyBorder="1" applyProtection="1"/>
    <xf numFmtId="0" fontId="0" fillId="0" borderId="3" xfId="0" applyBorder="1" applyProtection="1"/>
    <xf numFmtId="3" fontId="1" fillId="0" borderId="29" xfId="0" applyNumberFormat="1" applyFont="1" applyBorder="1" applyProtection="1"/>
    <xf numFmtId="0" fontId="6" fillId="0" borderId="23" xfId="0" applyFont="1" applyBorder="1" applyProtection="1"/>
    <xf numFmtId="0" fontId="0" fillId="0" borderId="10" xfId="0" applyFont="1" applyBorder="1" applyProtection="1"/>
    <xf numFmtId="3" fontId="0" fillId="0" borderId="24" xfId="0" applyNumberFormat="1" applyFont="1" applyBorder="1" applyProtection="1"/>
    <xf numFmtId="0" fontId="7" fillId="0" borderId="20" xfId="0" applyFont="1" applyBorder="1" applyProtection="1"/>
    <xf numFmtId="0" fontId="1" fillId="0" borderId="21" xfId="0" applyFont="1" applyBorder="1" applyProtection="1"/>
    <xf numFmtId="3" fontId="1" fillId="0" borderId="22" xfId="0" applyNumberFormat="1" applyFont="1" applyBorder="1" applyProtection="1"/>
    <xf numFmtId="0" fontId="7" fillId="0" borderId="0" xfId="0" applyFont="1" applyBorder="1" applyProtection="1"/>
    <xf numFmtId="0" fontId="1" fillId="0" borderId="0" xfId="0" applyFont="1" applyBorder="1" applyProtection="1"/>
    <xf numFmtId="3" fontId="1" fillId="0" borderId="0" xfId="0" applyNumberFormat="1" applyFont="1" applyBorder="1" applyProtection="1"/>
    <xf numFmtId="0" fontId="6" fillId="0" borderId="17" xfId="0" applyFont="1" applyBorder="1" applyProtection="1"/>
    <xf numFmtId="0" fontId="0" fillId="0" borderId="18" xfId="0" applyFont="1" applyBorder="1" applyProtection="1"/>
    <xf numFmtId="0" fontId="9" fillId="5" borderId="17" xfId="2" applyFont="1" applyFill="1" applyBorder="1" applyAlignment="1" applyProtection="1">
      <protection locked="0"/>
    </xf>
    <xf numFmtId="0" fontId="9" fillId="5" borderId="23" xfId="2" applyFont="1" applyFill="1" applyBorder="1" applyAlignment="1" applyProtection="1">
      <protection locked="0"/>
    </xf>
    <xf numFmtId="0" fontId="6" fillId="5" borderId="23" xfId="0" applyFont="1" applyFill="1" applyBorder="1" applyProtection="1">
      <protection locked="0"/>
    </xf>
    <xf numFmtId="0" fontId="9" fillId="5" borderId="20" xfId="2" applyFont="1" applyFill="1" applyBorder="1" applyAlignment="1" applyProtection="1">
      <protection locked="0"/>
    </xf>
    <xf numFmtId="3" fontId="0" fillId="5" borderId="19" xfId="0" applyNumberFormat="1" applyFont="1" applyFill="1" applyBorder="1" applyProtection="1">
      <protection locked="0"/>
    </xf>
    <xf numFmtId="3" fontId="0" fillId="0" borderId="21" xfId="0" applyNumberFormat="1" applyFill="1" applyBorder="1" applyProtection="1"/>
    <xf numFmtId="164" fontId="18" fillId="0" borderId="6" xfId="1" applyFont="1" applyBorder="1" applyAlignment="1" applyProtection="1">
      <alignment horizontal="right" vertical="center" wrapText="1"/>
    </xf>
    <xf numFmtId="0" fontId="9" fillId="5" borderId="30" xfId="2" applyFont="1" applyFill="1" applyBorder="1" applyAlignment="1" applyProtection="1">
      <protection locked="0"/>
    </xf>
    <xf numFmtId="3" fontId="0" fillId="5" borderId="1" xfId="0" applyNumberFormat="1" applyFill="1" applyBorder="1" applyProtection="1">
      <protection locked="0"/>
    </xf>
    <xf numFmtId="3" fontId="0" fillId="0" borderId="31" xfId="0" applyNumberFormat="1" applyBorder="1" applyProtection="1"/>
    <xf numFmtId="3" fontId="5" fillId="0" borderId="11" xfId="0" applyNumberFormat="1" applyFont="1" applyFill="1" applyBorder="1" applyAlignment="1" applyProtection="1">
      <alignment horizontal="right"/>
    </xf>
    <xf numFmtId="3" fontId="0" fillId="0" borderId="10" xfId="0" applyNumberFormat="1" applyFill="1" applyBorder="1" applyProtection="1"/>
    <xf numFmtId="0" fontId="0" fillId="5" borderId="0" xfId="0" applyFill="1" applyAlignment="1" applyProtection="1">
      <alignment horizontal="left"/>
      <protection locked="0"/>
    </xf>
    <xf numFmtId="0" fontId="21" fillId="0" borderId="0" xfId="0" applyFont="1" applyAlignment="1" applyProtection="1">
      <alignment horizontal="center"/>
    </xf>
    <xf numFmtId="166" fontId="0" fillId="4" borderId="12" xfId="0" applyNumberFormat="1" applyFill="1" applyBorder="1" applyAlignment="1" applyProtection="1">
      <alignment horizontal="right"/>
      <protection locked="0"/>
    </xf>
    <xf numFmtId="166" fontId="0" fillId="4" borderId="13" xfId="0" applyNumberFormat="1" applyFill="1" applyBorder="1" applyAlignment="1" applyProtection="1">
      <alignment horizontal="right"/>
      <protection locked="0"/>
    </xf>
    <xf numFmtId="0" fontId="8" fillId="4" borderId="12" xfId="2" applyFill="1" applyBorder="1" applyAlignment="1" applyProtection="1">
      <alignment horizontal="right"/>
      <protection locked="0"/>
    </xf>
    <xf numFmtId="0" fontId="8" fillId="4" borderId="13" xfId="2" applyFill="1" applyBorder="1" applyAlignment="1" applyProtection="1">
      <alignment horizontal="right"/>
      <protection locked="0"/>
    </xf>
    <xf numFmtId="0" fontId="17" fillId="0" borderId="0" xfId="0" applyFont="1" applyAlignment="1" applyProtection="1">
      <alignment horizontal="center"/>
    </xf>
    <xf numFmtId="0" fontId="0" fillId="4" borderId="12" xfId="0" applyFill="1" applyBorder="1" applyAlignment="1" applyProtection="1">
      <alignment horizontal="right"/>
      <protection locked="0"/>
    </xf>
    <xf numFmtId="0" fontId="0" fillId="4" borderId="13" xfId="0" applyFill="1" applyBorder="1" applyAlignment="1" applyProtection="1">
      <alignment horizontal="right"/>
      <protection locked="0"/>
    </xf>
    <xf numFmtId="0" fontId="16" fillId="0" borderId="0" xfId="0" applyFont="1" applyAlignment="1" applyProtection="1">
      <alignment horizontal="center"/>
    </xf>
    <xf numFmtId="0" fontId="11" fillId="0" borderId="0" xfId="0" applyFont="1" applyAlignment="1">
      <alignment horizontal="center"/>
    </xf>
    <xf numFmtId="0" fontId="0" fillId="5" borderId="0" xfId="0" applyFill="1" applyAlignment="1" applyProtection="1">
      <alignment horizontal="left"/>
      <protection locked="0"/>
    </xf>
    <xf numFmtId="0" fontId="29" fillId="0" borderId="0" xfId="0" applyFont="1" applyAlignment="1">
      <alignment horizontal="center"/>
    </xf>
    <xf numFmtId="0" fontId="7" fillId="0" borderId="11" xfId="0" applyFont="1" applyFill="1" applyBorder="1" applyAlignment="1">
      <alignment horizontal="left"/>
    </xf>
    <xf numFmtId="0" fontId="7" fillId="0" borderId="12" xfId="0" applyFont="1" applyFill="1" applyBorder="1" applyAlignment="1">
      <alignment horizontal="left"/>
    </xf>
    <xf numFmtId="0" fontId="7" fillId="0" borderId="13" xfId="0" applyFont="1" applyFill="1" applyBorder="1" applyAlignment="1">
      <alignment horizontal="left"/>
    </xf>
    <xf numFmtId="0" fontId="7" fillId="7" borderId="4" xfId="0" applyFont="1" applyFill="1" applyBorder="1" applyAlignment="1">
      <alignment horizontal="center"/>
    </xf>
    <xf numFmtId="0" fontId="16" fillId="0" borderId="0" xfId="0" applyFont="1" applyAlignment="1">
      <alignment horizontal="center"/>
    </xf>
    <xf numFmtId="0" fontId="22"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21" fillId="0" borderId="0" xfId="0" applyFont="1" applyAlignment="1" applyProtection="1">
      <alignment horizontal="center"/>
    </xf>
    <xf numFmtId="0" fontId="22" fillId="0" borderId="0" xfId="0" applyFont="1" applyAlignment="1" applyProtection="1">
      <alignment horizontal="left" vertical="center"/>
    </xf>
    <xf numFmtId="166" fontId="25" fillId="0" borderId="0" xfId="1" applyNumberFormat="1" applyFont="1" applyAlignment="1" applyProtection="1">
      <alignment horizontal="right"/>
    </xf>
    <xf numFmtId="164" fontId="25" fillId="0" borderId="0" xfId="1" applyFont="1" applyAlignment="1" applyProtection="1">
      <alignment horizontal="right"/>
    </xf>
  </cellXfs>
  <cellStyles count="3">
    <cellStyle name="Komma" xfId="1" builtinId="3"/>
    <cellStyle name="Link" xfId="2" builtinId="8"/>
    <cellStyle name="Normal" xfId="0" builtinId="0"/>
  </cellStyles>
  <dxfs count="27">
    <dxf>
      <numFmt numFmtId="3" formatCode="#,##0"/>
      <border diagonalUp="0" diagonalDown="0">
        <left style="thin">
          <color indexed="64"/>
        </left>
        <right style="thin">
          <color indexed="64"/>
        </right>
        <top style="thin">
          <color indexed="64"/>
        </top>
        <bottom style="thin">
          <color indexed="64"/>
        </bottom>
      </border>
    </dxf>
    <dxf>
      <numFmt numFmtId="3" formatCode="#,##0"/>
      <fill>
        <patternFill patternType="solid">
          <fgColor indexed="64"/>
          <bgColor rgb="FFCCECFF"/>
        </patternFill>
      </fill>
      <border diagonalUp="0" diagonalDown="0">
        <left style="thin">
          <color indexed="64"/>
        </left>
        <right style="thin">
          <color indexed="64"/>
        </right>
        <top style="thin">
          <color indexed="64"/>
        </top>
        <bottom style="thin">
          <color indexed="64"/>
        </bottom>
      </border>
    </dxf>
    <dxf>
      <numFmt numFmtId="3" formatCode="#,##0"/>
      <fill>
        <patternFill patternType="solid">
          <fgColor indexed="64"/>
          <bgColor rgb="FFCCECFF"/>
        </patternFill>
      </fill>
      <border diagonalUp="0" diagonalDown="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numFmt numFmtId="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fill>
        <patternFill patternType="solid">
          <fgColor indexed="64"/>
          <bgColor rgb="FFCCECFF"/>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CCECFF"/>
        </patternFill>
      </fil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CCECFF"/>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CEC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CCEC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fill>
        <patternFill patternType="solid">
          <fgColor indexed="64"/>
          <bgColor rgb="FFCCECFF"/>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CECFF"/>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CCFFFF"/>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CCFFFF"/>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CCFFFF"/>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CCFFFF"/>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CCFFFF"/>
        </patternFill>
      </fill>
      <protection locked="0" hidden="0"/>
    </dxf>
    <dxf>
      <border outline="0">
        <bottom style="thin">
          <color indexed="64"/>
        </bottom>
      </border>
    </dxf>
    <dxf>
      <font>
        <strike val="0"/>
        <outline val="0"/>
        <shadow val="0"/>
        <u val="none"/>
        <vertAlign val="baseline"/>
        <sz val="10"/>
        <color auto="1"/>
        <name val="Arial"/>
        <family val="2"/>
        <scheme val="none"/>
      </font>
    </dxf>
  </dxfs>
  <tableStyles count="0" defaultTableStyle="TableStyleMedium2" defaultPivotStyle="PivotStyleLight16"/>
  <colors>
    <mruColors>
      <color rgb="FFCCECFF"/>
      <color rgb="FF66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3:E29" totalsRowShown="0" headerRowDxfId="26" dataDxfId="24" headerRowBorderDxfId="25" tableBorderDxfId="23" totalsRowBorderDxfId="22">
  <tableColumns count="5">
    <tableColumn id="1" xr3:uid="{00000000-0010-0000-0000-000001000000}" name="År" dataDxfId="21"/>
    <tableColumn id="2" xr3:uid="{00000000-0010-0000-0000-000002000000}" name="Beløb eksklusive moms" dataDxfId="20"/>
    <tableColumn id="3" xr3:uid="{00000000-0010-0000-0000-000003000000}" name="Levetid" dataDxfId="19"/>
    <tableColumn id="4" xr3:uid="{00000000-0010-0000-0000-000004000000}" name="Investeringsbeløb" dataDxfId="18"/>
    <tableColumn id="5" xr3:uid="{00000000-0010-0000-0000-000005000000}" name="Afskrivningsbeløb" dataDxfId="17">
      <calculatedColumnFormula>IF(C4&gt;0,D4/C4,"")</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2" displayName="Tabel2" ref="A3:N29" totalsRowShown="0" headerRowDxfId="14">
  <autoFilter ref="A3:N29" xr:uid="{00000000-0009-0000-0100-000002000000}"/>
  <tableColumns count="14">
    <tableColumn id="1" xr3:uid="{00000000-0010-0000-0100-000001000000}" name="Værk" dataDxfId="13"/>
    <tableColumn id="2" xr3:uid="{00000000-0010-0000-0100-000002000000}" name="Bilagsreference" dataDxfId="12"/>
    <tableColumn id="3" xr3:uid="{00000000-0010-0000-0100-000003000000}" name="Anskaf. år" dataDxfId="11"/>
    <tableColumn id="4" xr3:uid="{00000000-0010-0000-0100-000004000000}" name="Anlægstype" dataDxfId="10"/>
    <tableColumn id="5" xr3:uid="{00000000-0010-0000-0100-000005000000}" name="Anlæg" dataDxfId="9"/>
    <tableColumn id="6" xr3:uid="{00000000-0010-0000-0100-000006000000}" name="Afskrivnings-periode (år)" dataDxfId="8"/>
    <tableColumn id="7" xr3:uid="{00000000-0010-0000-0100-000007000000}" name="Anskaffelses-sum" dataDxfId="7"/>
    <tableColumn id="8" xr3:uid="{00000000-0010-0000-0100-000008000000}" name="Afskrivning primo" dataDxfId="6">
      <calculatedColumnFormula>IF(F4&gt;0,IF((G4/F4)*(RegnÅr-C4)+L4+M4&gt;G4,G4-L4-M4,(G4/F4)*(RegnÅr-C4)),"")</calculatedColumnFormula>
    </tableColumn>
    <tableColumn id="9" xr3:uid="{00000000-0010-0000-0100-000009000000}" name="Afskrivning i år" dataDxfId="5">
      <calculatedColumnFormula>IF(F4&gt;0,IF((G4-H4-L4-M4)&gt;0,G4/F4,0),"")</calculatedColumnFormula>
    </tableColumn>
    <tableColumn id="10" xr3:uid="{00000000-0010-0000-0100-00000A000000}" name="Akkumuleret afskrivning" dataDxfId="4">
      <calculatedColumnFormula>IF(F4&gt;0,H4+I4+L4,"")</calculatedColumnFormula>
    </tableColumn>
    <tableColumn id="11" xr3:uid="{00000000-0010-0000-0100-00000B000000}" name="Afgangs-år" dataDxfId="3">
      <calculatedColumnFormula>IF(SUM(L4:M4)&lt;&gt;0,C4+(H4/(G4/F4))-1,"")</calculatedColumnFormula>
    </tableColumn>
    <tableColumn id="12" xr3:uid="{00000000-0010-0000-0100-00000C000000}" name="Rest-afskrivning" dataDxfId="2"/>
    <tableColumn id="13" xr3:uid="{00000000-0010-0000-0100-00000D000000}" name="Afgang Levetidsforl." dataDxfId="1"/>
    <tableColumn id="14" xr3:uid="{00000000-0010-0000-0100-00000E000000}" name="Ultimo værdi" dataDxfId="0">
      <calculatedColumnFormula>IF(F4&gt;0,G4-J4-M4,"")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61354512-C7FB-5C48-BD90-0E3F087EB948}">
  <we:reference id="1790f9bf-750c-461d-8694-2dbb54e10992" version="4.0.0.5" store="EXCatalog" storeType="EXCatalog"/>
  <we:alternateReferences>
    <we:reference id="WA104381787" version="4.0.0.5" store="en-US"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zoomScale="130" zoomScaleNormal="130" workbookViewId="0">
      <selection activeCell="B6" sqref="B6:C6"/>
    </sheetView>
  </sheetViews>
  <sheetFormatPr defaultColWidth="8.81640625" defaultRowHeight="14.5" x14ac:dyDescent="0.35"/>
  <cols>
    <col min="1" max="1" width="35.7265625" customWidth="1"/>
    <col min="2" max="2" width="15.7265625" customWidth="1"/>
    <col min="3" max="3" width="12.7265625" customWidth="1"/>
  </cols>
  <sheetData>
    <row r="1" spans="1:6" ht="22.5" x14ac:dyDescent="0.45">
      <c r="A1" s="225" t="str">
        <f>"Stamdata for "&amp;Vnavn</f>
        <v>Stamdata for Vandby Vandværk A.m.b.a.</v>
      </c>
      <c r="B1" s="225"/>
      <c r="C1" s="225"/>
      <c r="D1" s="18"/>
      <c r="E1" s="18"/>
      <c r="F1" s="18"/>
    </row>
    <row r="2" spans="1:6" ht="15" customHeight="1" x14ac:dyDescent="0.45">
      <c r="A2" s="17"/>
      <c r="B2" s="17"/>
      <c r="C2" s="17"/>
      <c r="D2" s="17"/>
      <c r="E2" s="17"/>
      <c r="F2" s="17"/>
    </row>
    <row r="3" spans="1:6" x14ac:dyDescent="0.35">
      <c r="A3" s="19" t="s">
        <v>0</v>
      </c>
      <c r="B3" s="226" t="s">
        <v>1</v>
      </c>
      <c r="C3" s="227"/>
    </row>
    <row r="4" spans="1:6" x14ac:dyDescent="0.35">
      <c r="A4" s="19" t="s">
        <v>2</v>
      </c>
      <c r="B4" s="226" t="s">
        <v>3</v>
      </c>
      <c r="C4" s="227"/>
    </row>
    <row r="5" spans="1:6" x14ac:dyDescent="0.35">
      <c r="A5" s="19" t="s">
        <v>4</v>
      </c>
      <c r="B5" s="226" t="s">
        <v>5</v>
      </c>
      <c r="C5" s="227"/>
    </row>
    <row r="6" spans="1:6" x14ac:dyDescent="0.35">
      <c r="A6" s="19" t="s">
        <v>6</v>
      </c>
      <c r="B6" s="223" t="s">
        <v>7</v>
      </c>
      <c r="C6" s="224"/>
    </row>
    <row r="7" spans="1:6" x14ac:dyDescent="0.35">
      <c r="A7" s="19" t="s">
        <v>8</v>
      </c>
      <c r="B7" s="221">
        <v>66554332</v>
      </c>
      <c r="C7" s="222"/>
    </row>
    <row r="8" spans="1:6" x14ac:dyDescent="0.35">
      <c r="A8" s="19" t="s">
        <v>9</v>
      </c>
      <c r="B8" s="223" t="s">
        <v>10</v>
      </c>
      <c r="C8" s="224"/>
    </row>
    <row r="9" spans="1:6" x14ac:dyDescent="0.35">
      <c r="A9" s="12"/>
      <c r="B9" s="13"/>
      <c r="C9" s="14"/>
    </row>
    <row r="10" spans="1:6" x14ac:dyDescent="0.35">
      <c r="A10" s="12" t="s">
        <v>11</v>
      </c>
      <c r="B10" s="13"/>
      <c r="C10" s="26">
        <v>2019</v>
      </c>
    </row>
    <row r="11" spans="1:6" x14ac:dyDescent="0.35">
      <c r="A11" s="12" t="s">
        <v>12</v>
      </c>
      <c r="B11" s="13"/>
      <c r="C11" s="47">
        <f>TakstÅr-2</f>
        <v>2017</v>
      </c>
    </row>
    <row r="12" spans="1:6" x14ac:dyDescent="0.35">
      <c r="A12" s="12"/>
      <c r="B12" s="13"/>
      <c r="C12" s="21"/>
    </row>
    <row r="13" spans="1:6" x14ac:dyDescent="0.35">
      <c r="A13" s="12" t="s">
        <v>13</v>
      </c>
      <c r="B13" s="13"/>
      <c r="C13" s="20">
        <v>135</v>
      </c>
    </row>
    <row r="14" spans="1:6" x14ac:dyDescent="0.35">
      <c r="A14" s="12" t="s">
        <v>14</v>
      </c>
      <c r="B14" s="13"/>
      <c r="C14" s="20">
        <v>140</v>
      </c>
    </row>
    <row r="15" spans="1:6" ht="16.5" x14ac:dyDescent="0.35">
      <c r="A15" s="12" t="s">
        <v>15</v>
      </c>
      <c r="B15" s="13"/>
      <c r="C15" s="20">
        <v>45000</v>
      </c>
    </row>
    <row r="16" spans="1:6" x14ac:dyDescent="0.35">
      <c r="A16" s="12"/>
      <c r="B16" s="13"/>
      <c r="C16" s="21"/>
    </row>
    <row r="17" spans="1:3" x14ac:dyDescent="0.35">
      <c r="A17" s="15" t="s">
        <v>16</v>
      </c>
      <c r="B17" s="22"/>
      <c r="C17" s="21"/>
    </row>
    <row r="18" spans="1:3" x14ac:dyDescent="0.35">
      <c r="A18" s="12" t="s">
        <v>17</v>
      </c>
      <c r="B18" s="13"/>
      <c r="C18" s="23">
        <v>6.18</v>
      </c>
    </row>
    <row r="19" spans="1:3" x14ac:dyDescent="0.35">
      <c r="A19" s="12" t="s">
        <v>18</v>
      </c>
      <c r="B19" s="13"/>
      <c r="C19" s="23">
        <v>0.19</v>
      </c>
    </row>
    <row r="20" spans="1:3" x14ac:dyDescent="0.35">
      <c r="A20" s="15" t="s">
        <v>19</v>
      </c>
      <c r="B20" s="13"/>
      <c r="C20" s="146">
        <f>SUM(C18:C19)</f>
        <v>6.37</v>
      </c>
    </row>
    <row r="21" spans="1:3" x14ac:dyDescent="0.35">
      <c r="A21" s="12"/>
      <c r="B21" s="13"/>
      <c r="C21" s="21"/>
    </row>
    <row r="22" spans="1:3" ht="16.5" x14ac:dyDescent="0.35">
      <c r="A22" s="15" t="s">
        <v>20</v>
      </c>
      <c r="B22" s="24"/>
      <c r="C22" s="14"/>
    </row>
    <row r="23" spans="1:3" x14ac:dyDescent="0.35">
      <c r="A23" s="12" t="s">
        <v>21</v>
      </c>
      <c r="B23" s="13"/>
      <c r="C23" s="25">
        <v>0.4</v>
      </c>
    </row>
    <row r="24" spans="1:3" ht="16.5" x14ac:dyDescent="0.35">
      <c r="A24" s="12" t="s">
        <v>22</v>
      </c>
      <c r="B24" s="13"/>
      <c r="C24" s="25">
        <v>0.6</v>
      </c>
    </row>
  </sheetData>
  <sheetProtection sheet="1" objects="1" scenarios="1"/>
  <mergeCells count="7">
    <mergeCell ref="B7:C7"/>
    <mergeCell ref="B8:C8"/>
    <mergeCell ref="A1:C1"/>
    <mergeCell ref="B3:C3"/>
    <mergeCell ref="B4:C4"/>
    <mergeCell ref="B5:C5"/>
    <mergeCell ref="B6:C6"/>
  </mergeCells>
  <printOptions horizontalCentered="1"/>
  <pageMargins left="0.59055118110236227" right="0.59055118110236227" top="0.39370078740157483" bottom="0.59055118110236227" header="0.19685039370078741" footer="0.19685039370078741"/>
  <pageSetup paperSize="9" scale="125" orientation="portrait" r:id="rId1"/>
  <headerFooter>
    <oddFooter>Side &amp;P af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
  <sheetViews>
    <sheetView zoomScale="85" zoomScaleNormal="85" workbookViewId="0">
      <pane ySplit="4" topLeftCell="A5" activePane="bottomLeft" state="frozen"/>
      <selection pane="bottomLeft" activeCell="A5" sqref="A5"/>
    </sheetView>
  </sheetViews>
  <sheetFormatPr defaultColWidth="9.1796875" defaultRowHeight="14.5" x14ac:dyDescent="0.35"/>
  <cols>
    <col min="1" max="1" width="35.26953125" style="16" bestFit="1" customWidth="1"/>
    <col min="2" max="14" width="10.7265625" style="57" customWidth="1"/>
    <col min="15" max="15" width="9.81640625" style="16" bestFit="1" customWidth="1"/>
    <col min="16" max="16384" width="9.1796875" style="16"/>
  </cols>
  <sheetData>
    <row r="1" spans="1:16" ht="21" x14ac:dyDescent="0.5">
      <c r="A1" s="228" t="str">
        <f>"Likviditetsbudget "&amp;TakstÅr&amp;" for "&amp;Vnavn</f>
        <v>Likviditetsbudget 2019 for Vandby Vandværk A.m.b.a.</v>
      </c>
      <c r="B1" s="228"/>
      <c r="C1" s="228"/>
      <c r="D1" s="228"/>
      <c r="E1" s="228"/>
      <c r="F1" s="228"/>
      <c r="G1" s="228"/>
      <c r="H1" s="228"/>
      <c r="I1" s="228"/>
      <c r="J1" s="228"/>
      <c r="K1" s="228"/>
      <c r="L1" s="228"/>
      <c r="M1" s="228"/>
      <c r="N1" s="228"/>
    </row>
    <row r="2" spans="1:16" ht="10" customHeight="1" x14ac:dyDescent="0.35">
      <c r="D2" s="58"/>
    </row>
    <row r="3" spans="1:16" x14ac:dyDescent="0.35">
      <c r="A3" s="59" t="s">
        <v>23</v>
      </c>
      <c r="B3" s="60" t="s">
        <v>24</v>
      </c>
      <c r="C3" s="60" t="s">
        <v>25</v>
      </c>
      <c r="D3" s="60" t="s">
        <v>26</v>
      </c>
      <c r="E3" s="60" t="s">
        <v>27</v>
      </c>
      <c r="F3" s="60" t="s">
        <v>28</v>
      </c>
      <c r="G3" s="60" t="s">
        <v>29</v>
      </c>
      <c r="H3" s="60" t="s">
        <v>30</v>
      </c>
      <c r="I3" s="60" t="s">
        <v>31</v>
      </c>
      <c r="J3" s="60" t="s">
        <v>32</v>
      </c>
      <c r="K3" s="60" t="s">
        <v>33</v>
      </c>
      <c r="L3" s="60" t="s">
        <v>34</v>
      </c>
      <c r="M3" s="60" t="s">
        <v>35</v>
      </c>
      <c r="N3" s="60" t="s">
        <v>24</v>
      </c>
    </row>
    <row r="4" spans="1:16" s="61" customFormat="1" ht="15.5" x14ac:dyDescent="0.35">
      <c r="A4" s="62" t="s">
        <v>36</v>
      </c>
      <c r="B4" s="63"/>
      <c r="C4" s="63"/>
      <c r="D4" s="63"/>
      <c r="E4" s="63"/>
      <c r="F4" s="63"/>
      <c r="G4" s="63"/>
      <c r="H4" s="63"/>
      <c r="I4" s="63"/>
      <c r="J4" s="63"/>
      <c r="K4" s="63"/>
      <c r="L4" s="63"/>
      <c r="M4" s="63"/>
      <c r="N4" s="63"/>
    </row>
    <row r="5" spans="1:16" s="61" customFormat="1" ht="15.5" x14ac:dyDescent="0.35">
      <c r="A5" s="79" t="s">
        <v>37</v>
      </c>
      <c r="B5" s="80">
        <v>712562.5</v>
      </c>
      <c r="C5" s="80"/>
      <c r="D5" s="80">
        <v>3500</v>
      </c>
      <c r="E5" s="80"/>
      <c r="F5" s="80"/>
      <c r="G5" s="80">
        <v>12000</v>
      </c>
      <c r="H5" s="80"/>
      <c r="I5" s="80">
        <v>5000</v>
      </c>
      <c r="J5" s="80"/>
      <c r="K5" s="80"/>
      <c r="L5" s="80">
        <v>16000</v>
      </c>
      <c r="M5" s="80"/>
      <c r="N5" s="80">
        <v>792565.5</v>
      </c>
      <c r="O5" s="44"/>
      <c r="P5" s="16"/>
    </row>
    <row r="6" spans="1:16" s="61" customFormat="1" ht="15.5" x14ac:dyDescent="0.35">
      <c r="A6" s="79" t="s">
        <v>38</v>
      </c>
      <c r="B6" s="80"/>
      <c r="C6" s="80"/>
      <c r="D6" s="80">
        <v>33000</v>
      </c>
      <c r="E6" s="80"/>
      <c r="F6" s="80"/>
      <c r="G6" s="80"/>
      <c r="H6" s="80"/>
      <c r="I6" s="80"/>
      <c r="J6" s="80"/>
      <c r="K6" s="80"/>
      <c r="L6" s="80"/>
      <c r="M6" s="80">
        <v>4000</v>
      </c>
      <c r="N6" s="80"/>
      <c r="O6" s="44"/>
      <c r="P6" s="16"/>
    </row>
    <row r="7" spans="1:16" x14ac:dyDescent="0.35">
      <c r="A7" s="79" t="s">
        <v>39</v>
      </c>
      <c r="B7" s="80"/>
      <c r="C7" s="80"/>
      <c r="D7" s="80">
        <v>-149900</v>
      </c>
      <c r="E7" s="80"/>
      <c r="F7" s="80"/>
      <c r="G7" s="80"/>
      <c r="H7" s="80"/>
      <c r="I7" s="80"/>
      <c r="J7" s="80">
        <v>118900</v>
      </c>
      <c r="K7" s="80"/>
      <c r="L7" s="80"/>
      <c r="M7" s="80"/>
      <c r="N7" s="80"/>
      <c r="O7" s="44">
        <f>SUM(B5:M6)</f>
        <v>786062.5</v>
      </c>
    </row>
    <row r="8" spans="1:16" x14ac:dyDescent="0.35">
      <c r="A8" s="79" t="s">
        <v>40</v>
      </c>
      <c r="B8" s="80">
        <v>-281250</v>
      </c>
      <c r="C8" s="80"/>
      <c r="D8" s="80"/>
      <c r="E8" s="80"/>
      <c r="F8" s="80"/>
      <c r="G8" s="80"/>
      <c r="H8" s="80"/>
      <c r="I8" s="80"/>
      <c r="J8" s="80"/>
      <c r="K8" s="80"/>
      <c r="L8" s="80"/>
      <c r="M8" s="80"/>
      <c r="N8" s="80">
        <v>-281250</v>
      </c>
      <c r="O8" s="44"/>
    </row>
    <row r="9" spans="1:16" x14ac:dyDescent="0.35">
      <c r="A9" s="62" t="s">
        <v>41</v>
      </c>
      <c r="B9" s="64">
        <f t="shared" ref="B9:N9" si="0">SUM(B5:B8)</f>
        <v>431312.5</v>
      </c>
      <c r="C9" s="64">
        <f t="shared" si="0"/>
        <v>0</v>
      </c>
      <c r="D9" s="64">
        <f t="shared" si="0"/>
        <v>-113400</v>
      </c>
      <c r="E9" s="64">
        <f t="shared" si="0"/>
        <v>0</v>
      </c>
      <c r="F9" s="64">
        <f t="shared" si="0"/>
        <v>0</v>
      </c>
      <c r="G9" s="64">
        <f t="shared" si="0"/>
        <v>12000</v>
      </c>
      <c r="H9" s="64">
        <f t="shared" si="0"/>
        <v>0</v>
      </c>
      <c r="I9" s="64">
        <f t="shared" si="0"/>
        <v>5000</v>
      </c>
      <c r="J9" s="64">
        <f t="shared" si="0"/>
        <v>118900</v>
      </c>
      <c r="K9" s="64">
        <f t="shared" si="0"/>
        <v>0</v>
      </c>
      <c r="L9" s="64">
        <f t="shared" si="0"/>
        <v>16000</v>
      </c>
      <c r="M9" s="64">
        <f t="shared" si="0"/>
        <v>4000</v>
      </c>
      <c r="N9" s="64">
        <f t="shared" si="0"/>
        <v>511315.5</v>
      </c>
      <c r="O9" s="44"/>
    </row>
    <row r="10" spans="1:16" ht="10" customHeight="1" x14ac:dyDescent="0.35">
      <c r="A10" s="65"/>
      <c r="B10" s="63"/>
      <c r="C10" s="63"/>
      <c r="D10" s="63"/>
      <c r="E10" s="63"/>
      <c r="F10" s="63"/>
      <c r="G10" s="63"/>
      <c r="H10" s="63"/>
      <c r="I10" s="63"/>
      <c r="J10" s="63"/>
      <c r="K10" s="63"/>
      <c r="L10" s="63"/>
      <c r="M10" s="63"/>
      <c r="N10" s="63"/>
      <c r="O10" s="44"/>
    </row>
    <row r="11" spans="1:16" ht="15" customHeight="1" x14ac:dyDescent="0.35">
      <c r="A11" s="62" t="s">
        <v>42</v>
      </c>
      <c r="B11" s="63"/>
      <c r="C11" s="63"/>
      <c r="D11" s="63"/>
      <c r="E11" s="63"/>
      <c r="F11" s="63"/>
      <c r="G11" s="63"/>
      <c r="H11" s="63"/>
      <c r="I11" s="63"/>
      <c r="J11" s="63"/>
      <c r="K11" s="63"/>
      <c r="L11" s="63"/>
      <c r="M11" s="63"/>
      <c r="N11" s="63"/>
      <c r="O11" s="44"/>
    </row>
    <row r="12" spans="1:16" x14ac:dyDescent="0.35">
      <c r="A12" s="79" t="s">
        <v>43</v>
      </c>
      <c r="B12" s="80"/>
      <c r="C12" s="80"/>
      <c r="D12" s="80">
        <v>-8125</v>
      </c>
      <c r="E12" s="80"/>
      <c r="F12" s="80">
        <v>-7500</v>
      </c>
      <c r="G12" s="80"/>
      <c r="H12" s="80">
        <v>-4375</v>
      </c>
      <c r="I12" s="80">
        <v>-3750</v>
      </c>
      <c r="J12" s="80"/>
      <c r="K12" s="80">
        <v>-6250</v>
      </c>
      <c r="L12" s="80"/>
      <c r="M12" s="80"/>
      <c r="N12" s="80"/>
      <c r="O12" s="44"/>
    </row>
    <row r="13" spans="1:16" x14ac:dyDescent="0.35">
      <c r="A13" s="79" t="s">
        <v>44</v>
      </c>
      <c r="B13" s="80">
        <v>-4687.5</v>
      </c>
      <c r="C13" s="80"/>
      <c r="D13" s="80"/>
      <c r="E13" s="80">
        <v>-4687.5</v>
      </c>
      <c r="F13" s="80"/>
      <c r="G13" s="80"/>
      <c r="H13" s="80">
        <v>-4687.5</v>
      </c>
      <c r="I13" s="80"/>
      <c r="J13" s="80"/>
      <c r="K13" s="80">
        <v>-4687.5</v>
      </c>
      <c r="L13" s="80"/>
      <c r="M13" s="80"/>
      <c r="N13" s="80">
        <v>-4687.5</v>
      </c>
      <c r="O13" s="44"/>
    </row>
    <row r="14" spans="1:16" x14ac:dyDescent="0.35">
      <c r="A14" s="79" t="s">
        <v>45</v>
      </c>
      <c r="B14" s="80"/>
      <c r="C14" s="80">
        <v>-4375</v>
      </c>
      <c r="D14" s="80"/>
      <c r="E14" s="80">
        <v>-6250</v>
      </c>
      <c r="F14" s="80"/>
      <c r="G14" s="80"/>
      <c r="H14" s="80"/>
      <c r="I14" s="80"/>
      <c r="J14" s="80">
        <v>-6250</v>
      </c>
      <c r="K14" s="80"/>
      <c r="L14" s="80"/>
      <c r="M14" s="80"/>
      <c r="N14" s="80"/>
      <c r="O14" s="44"/>
    </row>
    <row r="15" spans="1:16" x14ac:dyDescent="0.35">
      <c r="A15" s="79" t="s">
        <v>46</v>
      </c>
      <c r="B15" s="80"/>
      <c r="C15" s="80"/>
      <c r="D15" s="80"/>
      <c r="E15" s="80"/>
      <c r="F15" s="80"/>
      <c r="G15" s="80">
        <v>-6000</v>
      </c>
      <c r="H15" s="80"/>
      <c r="I15" s="80"/>
      <c r="J15" s="80"/>
      <c r="K15" s="80"/>
      <c r="L15" s="80"/>
      <c r="M15" s="80"/>
      <c r="N15" s="80"/>
      <c r="O15" s="44"/>
    </row>
    <row r="16" spans="1:16" x14ac:dyDescent="0.35">
      <c r="A16" s="79" t="s">
        <v>47</v>
      </c>
      <c r="B16" s="80"/>
      <c r="C16" s="80">
        <v>-2000</v>
      </c>
      <c r="D16" s="80"/>
      <c r="E16" s="80"/>
      <c r="F16" s="80"/>
      <c r="G16" s="80"/>
      <c r="H16" s="80">
        <v>-3000</v>
      </c>
      <c r="I16" s="80"/>
      <c r="J16" s="80"/>
      <c r="K16" s="80"/>
      <c r="L16" s="80">
        <v>-4000</v>
      </c>
      <c r="M16" s="80"/>
      <c r="N16" s="80"/>
      <c r="O16" s="44"/>
    </row>
    <row r="17" spans="1:15" x14ac:dyDescent="0.35">
      <c r="A17" s="65" t="s">
        <v>48</v>
      </c>
      <c r="B17" s="80"/>
      <c r="C17" s="80"/>
      <c r="D17" s="80"/>
      <c r="E17" s="80"/>
      <c r="F17" s="80">
        <v>-50000</v>
      </c>
      <c r="G17" s="80"/>
      <c r="H17" s="80"/>
      <c r="I17" s="80"/>
      <c r="J17" s="80"/>
      <c r="K17" s="80"/>
      <c r="L17" s="80"/>
      <c r="M17" s="80"/>
      <c r="N17" s="80"/>
      <c r="O17" s="44"/>
    </row>
    <row r="18" spans="1:15" x14ac:dyDescent="0.35">
      <c r="A18" s="62" t="s">
        <v>49</v>
      </c>
      <c r="B18" s="64">
        <f>SUM(B12:B17)</f>
        <v>-4687.5</v>
      </c>
      <c r="C18" s="64">
        <f t="shared" ref="C18:N18" si="1">SUM(C12:C17)</f>
        <v>-6375</v>
      </c>
      <c r="D18" s="64">
        <f t="shared" si="1"/>
        <v>-8125</v>
      </c>
      <c r="E18" s="64">
        <f t="shared" si="1"/>
        <v>-10937.5</v>
      </c>
      <c r="F18" s="64">
        <f t="shared" si="1"/>
        <v>-57500</v>
      </c>
      <c r="G18" s="64">
        <f t="shared" si="1"/>
        <v>-6000</v>
      </c>
      <c r="H18" s="64">
        <f t="shared" si="1"/>
        <v>-12062.5</v>
      </c>
      <c r="I18" s="64">
        <f t="shared" si="1"/>
        <v>-3750</v>
      </c>
      <c r="J18" s="64">
        <f t="shared" si="1"/>
        <v>-6250</v>
      </c>
      <c r="K18" s="64">
        <f t="shared" si="1"/>
        <v>-10937.5</v>
      </c>
      <c r="L18" s="64">
        <f t="shared" si="1"/>
        <v>-4000</v>
      </c>
      <c r="M18" s="64">
        <f t="shared" si="1"/>
        <v>0</v>
      </c>
      <c r="N18" s="64">
        <f t="shared" si="1"/>
        <v>-4687.5</v>
      </c>
      <c r="O18" s="44"/>
    </row>
    <row r="19" spans="1:15" ht="10" customHeight="1" x14ac:dyDescent="0.35">
      <c r="A19" s="65"/>
      <c r="B19" s="63"/>
      <c r="C19" s="63"/>
      <c r="D19" s="63"/>
      <c r="E19" s="63"/>
      <c r="F19" s="63"/>
      <c r="G19" s="63"/>
      <c r="H19" s="63"/>
      <c r="I19" s="63"/>
      <c r="J19" s="63"/>
      <c r="K19" s="63"/>
      <c r="L19" s="63"/>
      <c r="M19" s="63"/>
      <c r="N19" s="63"/>
      <c r="O19" s="44"/>
    </row>
    <row r="20" spans="1:15" ht="15" customHeight="1" x14ac:dyDescent="0.35">
      <c r="A20" s="62" t="s">
        <v>50</v>
      </c>
      <c r="B20" s="63"/>
      <c r="C20" s="63"/>
      <c r="D20" s="63"/>
      <c r="E20" s="63"/>
      <c r="F20" s="63"/>
      <c r="G20" s="63"/>
      <c r="H20" s="63"/>
      <c r="I20" s="63"/>
      <c r="J20" s="63"/>
      <c r="K20" s="63"/>
      <c r="L20" s="63"/>
      <c r="M20" s="63"/>
      <c r="N20" s="63"/>
      <c r="O20" s="44"/>
    </row>
    <row r="21" spans="1:15" x14ac:dyDescent="0.35">
      <c r="A21" s="79" t="s">
        <v>43</v>
      </c>
      <c r="B21" s="80"/>
      <c r="C21" s="80"/>
      <c r="D21" s="80">
        <v>-25000</v>
      </c>
      <c r="E21" s="80"/>
      <c r="F21" s="80"/>
      <c r="G21" s="80">
        <v>-20000</v>
      </c>
      <c r="H21" s="80"/>
      <c r="I21" s="80"/>
      <c r="J21" s="80">
        <v>-20000</v>
      </c>
      <c r="K21" s="80"/>
      <c r="L21" s="80">
        <v>-15000</v>
      </c>
      <c r="M21" s="80"/>
      <c r="N21" s="80"/>
      <c r="O21" s="44"/>
    </row>
    <row r="22" spans="1:15" x14ac:dyDescent="0.35">
      <c r="A22" s="79" t="s">
        <v>44</v>
      </c>
      <c r="B22" s="80">
        <v>-4687.5</v>
      </c>
      <c r="C22" s="80"/>
      <c r="D22" s="80"/>
      <c r="E22" s="80">
        <v>-4687.5</v>
      </c>
      <c r="F22" s="80"/>
      <c r="G22" s="80"/>
      <c r="H22" s="80">
        <v>-4687.5</v>
      </c>
      <c r="I22" s="80"/>
      <c r="J22" s="80"/>
      <c r="K22" s="80">
        <v>-4687.5</v>
      </c>
      <c r="L22" s="80"/>
      <c r="M22" s="80"/>
      <c r="N22" s="80">
        <v>-4687.5</v>
      </c>
      <c r="O22" s="44"/>
    </row>
    <row r="23" spans="1:15" x14ac:dyDescent="0.35">
      <c r="A23" s="81" t="s">
        <v>51</v>
      </c>
      <c r="B23" s="80"/>
      <c r="C23" s="80"/>
      <c r="D23" s="80"/>
      <c r="E23" s="80"/>
      <c r="F23" s="80"/>
      <c r="G23" s="80"/>
      <c r="H23" s="80"/>
      <c r="I23" s="80"/>
      <c r="J23" s="80"/>
      <c r="K23" s="80"/>
      <c r="L23" s="80"/>
      <c r="M23" s="80"/>
      <c r="N23" s="80"/>
      <c r="O23" s="44"/>
    </row>
    <row r="24" spans="1:15" x14ac:dyDescent="0.35">
      <c r="A24" s="65" t="s">
        <v>48</v>
      </c>
      <c r="B24" s="80"/>
      <c r="C24" s="80"/>
      <c r="D24" s="80"/>
      <c r="E24" s="80">
        <v>-50000</v>
      </c>
      <c r="F24" s="80"/>
      <c r="G24" s="80">
        <v>-100000</v>
      </c>
      <c r="H24" s="80"/>
      <c r="I24" s="80"/>
      <c r="J24" s="80"/>
      <c r="K24" s="80">
        <v>-129500</v>
      </c>
      <c r="L24" s="80"/>
      <c r="M24" s="80"/>
      <c r="N24" s="80"/>
      <c r="O24" s="44"/>
    </row>
    <row r="25" spans="1:15" x14ac:dyDescent="0.35">
      <c r="A25" s="62" t="s">
        <v>52</v>
      </c>
      <c r="B25" s="64">
        <f>SUM(B21:B24)</f>
        <v>-4687.5</v>
      </c>
      <c r="C25" s="64">
        <f t="shared" ref="C25:N25" si="2">SUM(C21:C24)</f>
        <v>0</v>
      </c>
      <c r="D25" s="64">
        <f t="shared" si="2"/>
        <v>-25000</v>
      </c>
      <c r="E25" s="64">
        <f t="shared" si="2"/>
        <v>-54687.5</v>
      </c>
      <c r="F25" s="64">
        <f t="shared" si="2"/>
        <v>0</v>
      </c>
      <c r="G25" s="64">
        <f t="shared" si="2"/>
        <v>-120000</v>
      </c>
      <c r="H25" s="64">
        <f t="shared" si="2"/>
        <v>-4687.5</v>
      </c>
      <c r="I25" s="64">
        <f t="shared" si="2"/>
        <v>0</v>
      </c>
      <c r="J25" s="64">
        <f t="shared" si="2"/>
        <v>-20000</v>
      </c>
      <c r="K25" s="64">
        <f t="shared" si="2"/>
        <v>-134187.5</v>
      </c>
      <c r="L25" s="64">
        <f t="shared" si="2"/>
        <v>-15000</v>
      </c>
      <c r="M25" s="64">
        <f t="shared" si="2"/>
        <v>0</v>
      </c>
      <c r="N25" s="64">
        <f t="shared" si="2"/>
        <v>-4687.5</v>
      </c>
      <c r="O25" s="44"/>
    </row>
    <row r="26" spans="1:15" ht="10" customHeight="1" x14ac:dyDescent="0.35">
      <c r="A26" s="62"/>
      <c r="B26" s="63"/>
      <c r="C26" s="63"/>
      <c r="D26" s="63"/>
      <c r="E26" s="63"/>
      <c r="F26" s="63"/>
      <c r="G26" s="63"/>
      <c r="H26" s="63"/>
      <c r="I26" s="63"/>
      <c r="J26" s="63"/>
      <c r="K26" s="63"/>
      <c r="L26" s="63"/>
      <c r="M26" s="63"/>
      <c r="N26" s="63"/>
      <c r="O26" s="44"/>
    </row>
    <row r="27" spans="1:15" ht="15" customHeight="1" x14ac:dyDescent="0.35">
      <c r="A27" s="62" t="s">
        <v>53</v>
      </c>
      <c r="B27" s="63"/>
      <c r="C27" s="63"/>
      <c r="D27" s="63"/>
      <c r="E27" s="63"/>
      <c r="F27" s="63"/>
      <c r="G27" s="63"/>
      <c r="H27" s="63"/>
      <c r="I27" s="63"/>
      <c r="J27" s="63"/>
      <c r="K27" s="63"/>
      <c r="L27" s="63"/>
      <c r="M27" s="63"/>
      <c r="N27" s="63"/>
      <c r="O27" s="44"/>
    </row>
    <row r="28" spans="1:15" x14ac:dyDescent="0.35">
      <c r="A28" s="79" t="s">
        <v>54</v>
      </c>
      <c r="B28" s="80">
        <v>-625</v>
      </c>
      <c r="C28" s="80"/>
      <c r="D28" s="80">
        <v>-875</v>
      </c>
      <c r="E28" s="80"/>
      <c r="F28" s="80">
        <v>-625</v>
      </c>
      <c r="G28" s="80"/>
      <c r="H28" s="80">
        <v>-750</v>
      </c>
      <c r="I28" s="80"/>
      <c r="J28" s="80">
        <v>-1000</v>
      </c>
      <c r="K28" s="80"/>
      <c r="L28" s="80">
        <v>-1500</v>
      </c>
      <c r="M28" s="80"/>
      <c r="N28" s="80">
        <v>-750</v>
      </c>
      <c r="O28" s="44"/>
    </row>
    <row r="29" spans="1:15" x14ac:dyDescent="0.35">
      <c r="A29" s="79" t="s">
        <v>55</v>
      </c>
      <c r="B29" s="80">
        <v>-781.25</v>
      </c>
      <c r="C29" s="80"/>
      <c r="D29" s="80"/>
      <c r="E29" s="80">
        <v>-781.25</v>
      </c>
      <c r="F29" s="80"/>
      <c r="G29" s="80"/>
      <c r="H29" s="80">
        <v>-781.25</v>
      </c>
      <c r="I29" s="80"/>
      <c r="J29" s="80"/>
      <c r="K29" s="80">
        <v>-781.25</v>
      </c>
      <c r="L29" s="80"/>
      <c r="M29" s="80"/>
      <c r="N29" s="80">
        <v>-781.25</v>
      </c>
      <c r="O29" s="44"/>
    </row>
    <row r="30" spans="1:15" x14ac:dyDescent="0.35">
      <c r="A30" s="79" t="s">
        <v>56</v>
      </c>
      <c r="B30" s="80"/>
      <c r="C30" s="80"/>
      <c r="D30" s="80">
        <v>-6250</v>
      </c>
      <c r="E30" s="80"/>
      <c r="F30" s="80"/>
      <c r="G30" s="80"/>
      <c r="H30" s="80"/>
      <c r="I30" s="80"/>
      <c r="J30" s="80"/>
      <c r="K30" s="80"/>
      <c r="L30" s="80"/>
      <c r="M30" s="80"/>
      <c r="N30" s="80"/>
      <c r="O30" s="44"/>
    </row>
    <row r="31" spans="1:15" x14ac:dyDescent="0.35">
      <c r="A31" s="79" t="s">
        <v>57</v>
      </c>
      <c r="B31" s="80">
        <v>-3491.67</v>
      </c>
      <c r="C31" s="80">
        <v>-3491.67</v>
      </c>
      <c r="D31" s="80">
        <v>-3491.67</v>
      </c>
      <c r="E31" s="80">
        <v>-3491.67</v>
      </c>
      <c r="F31" s="80">
        <v>-3491.67</v>
      </c>
      <c r="G31" s="80">
        <v>-3491.67</v>
      </c>
      <c r="H31" s="80">
        <v>-3491.67</v>
      </c>
      <c r="I31" s="80">
        <v>-3491.67</v>
      </c>
      <c r="J31" s="80">
        <v>-3491.67</v>
      </c>
      <c r="K31" s="80">
        <v>-3491.67</v>
      </c>
      <c r="L31" s="80">
        <v>-3491.67</v>
      </c>
      <c r="M31" s="80">
        <v>-3491.67</v>
      </c>
      <c r="N31" s="80">
        <v>-3500</v>
      </c>
      <c r="O31" s="44"/>
    </row>
    <row r="32" spans="1:15" x14ac:dyDescent="0.35">
      <c r="A32" s="79" t="s">
        <v>58</v>
      </c>
      <c r="B32" s="80">
        <v>-179.67</v>
      </c>
      <c r="C32" s="80">
        <v>-179.67</v>
      </c>
      <c r="D32" s="80">
        <v>-179.67</v>
      </c>
      <c r="E32" s="80">
        <v>-179.67</v>
      </c>
      <c r="F32" s="80">
        <v>-179.67</v>
      </c>
      <c r="G32" s="80">
        <v>-179.67</v>
      </c>
      <c r="H32" s="80">
        <v>-179.67</v>
      </c>
      <c r="I32" s="80">
        <v>-179.67</v>
      </c>
      <c r="J32" s="80">
        <v>-179.67</v>
      </c>
      <c r="K32" s="80">
        <v>-179.67</v>
      </c>
      <c r="L32" s="80">
        <v>-179.67</v>
      </c>
      <c r="M32" s="80">
        <v>-179.67</v>
      </c>
      <c r="N32" s="80">
        <v>-185</v>
      </c>
      <c r="O32" s="44"/>
    </row>
    <row r="33" spans="1:15" x14ac:dyDescent="0.35">
      <c r="A33" s="79" t="s">
        <v>59</v>
      </c>
      <c r="B33" s="80">
        <v>-145.83000000000001</v>
      </c>
      <c r="C33" s="80"/>
      <c r="D33" s="80">
        <v>-145.83000000000001</v>
      </c>
      <c r="E33" s="80"/>
      <c r="F33" s="80">
        <v>-145.83000000000001</v>
      </c>
      <c r="G33" s="80"/>
      <c r="H33" s="80">
        <v>-145.83000000000001</v>
      </c>
      <c r="I33" s="80"/>
      <c r="J33" s="80">
        <v>-145.83000000000001</v>
      </c>
      <c r="K33" s="80"/>
      <c r="L33" s="80">
        <v>-145.83000000000001</v>
      </c>
      <c r="M33" s="80"/>
      <c r="N33" s="80">
        <v>-145</v>
      </c>
      <c r="O33" s="44"/>
    </row>
    <row r="34" spans="1:15" x14ac:dyDescent="0.35">
      <c r="A34" s="79" t="s">
        <v>60</v>
      </c>
      <c r="B34" s="80">
        <v>-2045</v>
      </c>
      <c r="C34" s="80">
        <v>-3500</v>
      </c>
      <c r="D34" s="80"/>
      <c r="E34" s="80">
        <v>-1575</v>
      </c>
      <c r="F34" s="80"/>
      <c r="G34" s="80">
        <v>-3650</v>
      </c>
      <c r="H34" s="80">
        <v>-2645</v>
      </c>
      <c r="I34" s="80"/>
      <c r="J34" s="80"/>
      <c r="K34" s="80">
        <v>-2660</v>
      </c>
      <c r="L34" s="80"/>
      <c r="M34" s="80">
        <v>-2675</v>
      </c>
      <c r="N34" s="80">
        <v>-2045</v>
      </c>
      <c r="O34" s="44"/>
    </row>
    <row r="35" spans="1:15" x14ac:dyDescent="0.35">
      <c r="A35" s="79" t="s">
        <v>61</v>
      </c>
      <c r="B35" s="80">
        <v>-7650</v>
      </c>
      <c r="C35" s="80"/>
      <c r="D35" s="80"/>
      <c r="E35" s="80"/>
      <c r="F35" s="80"/>
      <c r="G35" s="80"/>
      <c r="H35" s="80"/>
      <c r="I35" s="80">
        <v>-5600</v>
      </c>
      <c r="J35" s="80"/>
      <c r="K35" s="80"/>
      <c r="L35" s="80"/>
      <c r="M35" s="80"/>
      <c r="N35" s="80">
        <v>-8000</v>
      </c>
      <c r="O35" s="44"/>
    </row>
    <row r="36" spans="1:15" x14ac:dyDescent="0.35">
      <c r="A36" s="79" t="s">
        <v>62</v>
      </c>
      <c r="B36" s="80"/>
      <c r="C36" s="80"/>
      <c r="D36" s="80"/>
      <c r="E36" s="80">
        <v>-3000</v>
      </c>
      <c r="F36" s="80"/>
      <c r="G36" s="80"/>
      <c r="H36" s="80"/>
      <c r="I36" s="80"/>
      <c r="J36" s="80">
        <v>-3500</v>
      </c>
      <c r="K36" s="80"/>
      <c r="L36" s="80"/>
      <c r="M36" s="80"/>
      <c r="N36" s="80"/>
      <c r="O36" s="44"/>
    </row>
    <row r="37" spans="1:15" x14ac:dyDescent="0.35">
      <c r="A37" s="79" t="s">
        <v>63</v>
      </c>
      <c r="B37" s="80"/>
      <c r="C37" s="80">
        <v>-2250</v>
      </c>
      <c r="D37" s="80"/>
      <c r="E37" s="80">
        <v>-3200</v>
      </c>
      <c r="F37" s="80"/>
      <c r="G37" s="80"/>
      <c r="H37" s="80"/>
      <c r="I37" s="80"/>
      <c r="J37" s="80"/>
      <c r="K37" s="80"/>
      <c r="L37" s="80">
        <v>-3600</v>
      </c>
      <c r="M37" s="80"/>
      <c r="N37" s="80"/>
      <c r="O37" s="44"/>
    </row>
    <row r="38" spans="1:15" x14ac:dyDescent="0.35">
      <c r="A38" s="79" t="s">
        <v>64</v>
      </c>
      <c r="B38" s="80">
        <v>-5000</v>
      </c>
      <c r="C38" s="80">
        <v>-3000</v>
      </c>
      <c r="D38" s="80"/>
      <c r="E38" s="80"/>
      <c r="F38" s="80"/>
      <c r="G38" s="80"/>
      <c r="H38" s="80"/>
      <c r="I38" s="80"/>
      <c r="J38" s="80"/>
      <c r="K38" s="80"/>
      <c r="L38" s="80"/>
      <c r="M38" s="80"/>
      <c r="N38" s="80">
        <v>-5000</v>
      </c>
      <c r="O38" s="44"/>
    </row>
    <row r="39" spans="1:15" x14ac:dyDescent="0.35">
      <c r="A39" s="79" t="s">
        <v>65</v>
      </c>
      <c r="B39" s="80">
        <v>-500</v>
      </c>
      <c r="C39" s="80">
        <v>-500</v>
      </c>
      <c r="D39" s="80">
        <v>-500</v>
      </c>
      <c r="E39" s="80">
        <v>-500</v>
      </c>
      <c r="F39" s="80">
        <v>-500</v>
      </c>
      <c r="G39" s="80">
        <v>-500</v>
      </c>
      <c r="H39" s="80">
        <v>-1000</v>
      </c>
      <c r="I39" s="80">
        <v>-500</v>
      </c>
      <c r="J39" s="80">
        <v>-500</v>
      </c>
      <c r="K39" s="80">
        <v>-500</v>
      </c>
      <c r="L39" s="80">
        <v>-500</v>
      </c>
      <c r="M39" s="80">
        <v>-500</v>
      </c>
      <c r="N39" s="80">
        <v>-500</v>
      </c>
      <c r="O39" s="44"/>
    </row>
    <row r="40" spans="1:15" x14ac:dyDescent="0.35">
      <c r="A40" s="62" t="s">
        <v>66</v>
      </c>
      <c r="B40" s="64">
        <f t="shared" ref="B40:N40" si="3">SUM(B28:B39)</f>
        <v>-20418.419999999998</v>
      </c>
      <c r="C40" s="64">
        <f t="shared" si="3"/>
        <v>-12921.34</v>
      </c>
      <c r="D40" s="64">
        <f t="shared" si="3"/>
        <v>-11442.17</v>
      </c>
      <c r="E40" s="64">
        <f t="shared" si="3"/>
        <v>-12727.59</v>
      </c>
      <c r="F40" s="64">
        <f t="shared" si="3"/>
        <v>-4942.17</v>
      </c>
      <c r="G40" s="64">
        <f t="shared" si="3"/>
        <v>-7821.34</v>
      </c>
      <c r="H40" s="64">
        <f t="shared" si="3"/>
        <v>-8993.42</v>
      </c>
      <c r="I40" s="64">
        <f t="shared" si="3"/>
        <v>-9771.34</v>
      </c>
      <c r="J40" s="64">
        <f t="shared" si="3"/>
        <v>-8817.17</v>
      </c>
      <c r="K40" s="64">
        <f t="shared" si="3"/>
        <v>-7612.59</v>
      </c>
      <c r="L40" s="64">
        <f t="shared" si="3"/>
        <v>-9417.17</v>
      </c>
      <c r="M40" s="64">
        <f t="shared" si="3"/>
        <v>-6846.34</v>
      </c>
      <c r="N40" s="64">
        <f t="shared" si="3"/>
        <v>-20906.25</v>
      </c>
      <c r="O40" s="44"/>
    </row>
    <row r="41" spans="1:15" ht="10" customHeight="1" x14ac:dyDescent="0.35">
      <c r="A41" s="62"/>
      <c r="B41" s="64"/>
      <c r="C41" s="64"/>
      <c r="D41" s="64"/>
      <c r="E41" s="64"/>
      <c r="F41" s="64"/>
      <c r="G41" s="64"/>
      <c r="H41" s="64"/>
      <c r="I41" s="64"/>
      <c r="J41" s="64"/>
      <c r="K41" s="64"/>
      <c r="L41" s="64"/>
      <c r="M41" s="64"/>
      <c r="N41" s="64"/>
      <c r="O41" s="44"/>
    </row>
    <row r="42" spans="1:15" x14ac:dyDescent="0.35">
      <c r="A42" s="62" t="s">
        <v>67</v>
      </c>
      <c r="B42" s="158"/>
      <c r="C42" s="158"/>
      <c r="D42" s="158"/>
      <c r="E42" s="158">
        <v>-100000</v>
      </c>
      <c r="F42" s="158"/>
      <c r="G42" s="158"/>
      <c r="H42" s="158"/>
      <c r="I42" s="158"/>
      <c r="J42" s="158"/>
      <c r="K42" s="158">
        <v>-100000</v>
      </c>
      <c r="L42" s="158"/>
      <c r="M42" s="158"/>
      <c r="N42" s="158"/>
      <c r="O42" s="44"/>
    </row>
    <row r="43" spans="1:15" x14ac:dyDescent="0.35">
      <c r="A43" s="66" t="s">
        <v>68</v>
      </c>
      <c r="B43" s="82">
        <v>388304</v>
      </c>
      <c r="C43" s="67">
        <f>B45</f>
        <v>789823.08000000007</v>
      </c>
      <c r="D43" s="67">
        <f t="shared" ref="D43:N43" si="4">C45</f>
        <v>770526.74000000011</v>
      </c>
      <c r="E43" s="67">
        <f t="shared" si="4"/>
        <v>612559.57000000007</v>
      </c>
      <c r="F43" s="67">
        <f t="shared" si="4"/>
        <v>434206.9800000001</v>
      </c>
      <c r="G43" s="67">
        <f t="shared" si="4"/>
        <v>371764.81000000011</v>
      </c>
      <c r="H43" s="67">
        <f t="shared" si="4"/>
        <v>249943.47000000012</v>
      </c>
      <c r="I43" s="67">
        <f t="shared" si="4"/>
        <v>224200.0500000001</v>
      </c>
      <c r="J43" s="67">
        <f t="shared" si="4"/>
        <v>215678.71000000011</v>
      </c>
      <c r="K43" s="67">
        <f t="shared" si="4"/>
        <v>299511.5400000001</v>
      </c>
      <c r="L43" s="67">
        <f t="shared" si="4"/>
        <v>46773.950000000099</v>
      </c>
      <c r="M43" s="67">
        <f t="shared" si="4"/>
        <v>34356.780000000101</v>
      </c>
      <c r="N43" s="67">
        <f t="shared" si="4"/>
        <v>31510.440000000101</v>
      </c>
      <c r="O43" s="44"/>
    </row>
    <row r="44" spans="1:15" s="69" customFormat="1" x14ac:dyDescent="0.35">
      <c r="A44" s="70" t="s">
        <v>69</v>
      </c>
      <c r="B44" s="71">
        <f>B9+B18+B25+B40+B42</f>
        <v>401519.08</v>
      </c>
      <c r="C44" s="71">
        <f t="shared" ref="C44:N44" si="5">C9+C18+C25+C40+C42</f>
        <v>-19296.34</v>
      </c>
      <c r="D44" s="71">
        <f t="shared" si="5"/>
        <v>-157967.17000000001</v>
      </c>
      <c r="E44" s="71">
        <f t="shared" si="5"/>
        <v>-178352.59</v>
      </c>
      <c r="F44" s="71">
        <f t="shared" si="5"/>
        <v>-62442.17</v>
      </c>
      <c r="G44" s="71">
        <f t="shared" si="5"/>
        <v>-121821.34</v>
      </c>
      <c r="H44" s="71">
        <f t="shared" si="5"/>
        <v>-25743.42</v>
      </c>
      <c r="I44" s="71">
        <f t="shared" si="5"/>
        <v>-8521.34</v>
      </c>
      <c r="J44" s="71">
        <f t="shared" si="5"/>
        <v>83832.83</v>
      </c>
      <c r="K44" s="71">
        <f t="shared" si="5"/>
        <v>-252737.59</v>
      </c>
      <c r="L44" s="71">
        <f t="shared" si="5"/>
        <v>-12417.17</v>
      </c>
      <c r="M44" s="71">
        <f t="shared" si="5"/>
        <v>-2846.34</v>
      </c>
      <c r="N44" s="71">
        <f t="shared" si="5"/>
        <v>481034.25</v>
      </c>
      <c r="O44" s="68"/>
    </row>
    <row r="45" spans="1:15" s="73" customFormat="1" x14ac:dyDescent="0.35">
      <c r="A45" s="74" t="s">
        <v>70</v>
      </c>
      <c r="B45" s="75">
        <f>B43+B44</f>
        <v>789823.08000000007</v>
      </c>
      <c r="C45" s="75">
        <f t="shared" ref="C45:H45" si="6">C43+C44</f>
        <v>770526.74000000011</v>
      </c>
      <c r="D45" s="75">
        <f t="shared" si="6"/>
        <v>612559.57000000007</v>
      </c>
      <c r="E45" s="75">
        <f t="shared" si="6"/>
        <v>434206.9800000001</v>
      </c>
      <c r="F45" s="75">
        <f t="shared" si="6"/>
        <v>371764.81000000011</v>
      </c>
      <c r="G45" s="75">
        <f t="shared" si="6"/>
        <v>249943.47000000012</v>
      </c>
      <c r="H45" s="75">
        <f t="shared" si="6"/>
        <v>224200.0500000001</v>
      </c>
      <c r="I45" s="75">
        <f t="shared" ref="I45" si="7">I43+I44</f>
        <v>215678.71000000011</v>
      </c>
      <c r="J45" s="75">
        <f t="shared" ref="J45" si="8">J43+J44</f>
        <v>299511.5400000001</v>
      </c>
      <c r="K45" s="75">
        <f t="shared" ref="K45" si="9">K43+K44</f>
        <v>46773.950000000099</v>
      </c>
      <c r="L45" s="75">
        <f t="shared" ref="L45" si="10">L43+L44</f>
        <v>34356.780000000101</v>
      </c>
      <c r="M45" s="75">
        <f t="shared" ref="M45" si="11">M43+M44</f>
        <v>31510.440000000101</v>
      </c>
      <c r="N45" s="75">
        <f t="shared" ref="N45" si="12">N43+N44</f>
        <v>512544.69000000012</v>
      </c>
      <c r="O45" s="72"/>
    </row>
    <row r="46" spans="1:15" s="69" customFormat="1" ht="10" customHeight="1" x14ac:dyDescent="0.35">
      <c r="A46" s="16"/>
      <c r="B46" s="76"/>
      <c r="C46" s="76"/>
      <c r="D46" s="76"/>
      <c r="E46" s="76"/>
      <c r="F46" s="76"/>
      <c r="G46" s="76"/>
      <c r="H46" s="76"/>
      <c r="I46" s="76"/>
      <c r="J46" s="76"/>
      <c r="K46" s="76"/>
      <c r="L46" s="76"/>
      <c r="M46" s="76"/>
      <c r="N46" s="76"/>
      <c r="O46" s="159" t="s">
        <v>71</v>
      </c>
    </row>
    <row r="47" spans="1:15" x14ac:dyDescent="0.35">
      <c r="A47" s="77" t="s">
        <v>48</v>
      </c>
      <c r="B47" s="78">
        <f t="shared" ref="B47:M47" si="13">B17+B24</f>
        <v>0</v>
      </c>
      <c r="C47" s="78">
        <f t="shared" si="13"/>
        <v>0</v>
      </c>
      <c r="D47" s="78">
        <f t="shared" si="13"/>
        <v>0</v>
      </c>
      <c r="E47" s="78">
        <f t="shared" si="13"/>
        <v>-50000</v>
      </c>
      <c r="F47" s="78">
        <f t="shared" si="13"/>
        <v>-50000</v>
      </c>
      <c r="G47" s="78">
        <f t="shared" si="13"/>
        <v>-100000</v>
      </c>
      <c r="H47" s="78">
        <f t="shared" si="13"/>
        <v>0</v>
      </c>
      <c r="I47" s="78">
        <f t="shared" si="13"/>
        <v>0</v>
      </c>
      <c r="J47" s="78">
        <f t="shared" si="13"/>
        <v>0</v>
      </c>
      <c r="K47" s="78">
        <f t="shared" si="13"/>
        <v>-129500</v>
      </c>
      <c r="L47" s="78">
        <f t="shared" si="13"/>
        <v>0</v>
      </c>
      <c r="M47" s="78">
        <f t="shared" si="13"/>
        <v>0</v>
      </c>
      <c r="N47" s="76"/>
      <c r="O47" s="78">
        <f>SUM(B47:M47)</f>
        <v>-329500</v>
      </c>
    </row>
    <row r="48" spans="1:15" x14ac:dyDescent="0.35">
      <c r="A48" s="77" t="s">
        <v>72</v>
      </c>
      <c r="B48" s="78">
        <f>B42</f>
        <v>0</v>
      </c>
      <c r="C48" s="78">
        <f t="shared" ref="C48:M48" si="14">C42</f>
        <v>0</v>
      </c>
      <c r="D48" s="78">
        <f t="shared" si="14"/>
        <v>0</v>
      </c>
      <c r="E48" s="78">
        <f t="shared" si="14"/>
        <v>-100000</v>
      </c>
      <c r="F48" s="78">
        <f t="shared" si="14"/>
        <v>0</v>
      </c>
      <c r="G48" s="78">
        <f t="shared" si="14"/>
        <v>0</v>
      </c>
      <c r="H48" s="78">
        <f t="shared" si="14"/>
        <v>0</v>
      </c>
      <c r="I48" s="78">
        <f t="shared" si="14"/>
        <v>0</v>
      </c>
      <c r="J48" s="78">
        <f t="shared" si="14"/>
        <v>0</v>
      </c>
      <c r="K48" s="78">
        <f t="shared" si="14"/>
        <v>-100000</v>
      </c>
      <c r="L48" s="78">
        <f t="shared" si="14"/>
        <v>0</v>
      </c>
      <c r="M48" s="78">
        <f t="shared" si="14"/>
        <v>0</v>
      </c>
      <c r="N48" s="76"/>
      <c r="O48" s="78">
        <f>SUM(B48:M48)</f>
        <v>-200000</v>
      </c>
    </row>
    <row r="49" spans="1:15" x14ac:dyDescent="0.35">
      <c r="A49" s="77" t="s">
        <v>73</v>
      </c>
      <c r="B49" s="78">
        <f>B7+B8+B18+B25+B40+B42-B47-B48</f>
        <v>-311043.42</v>
      </c>
      <c r="C49" s="78">
        <f t="shared" ref="C49:M49" si="15">C7+C8+C18+C25+C40+C42-C47-C48</f>
        <v>-19296.34</v>
      </c>
      <c r="D49" s="78">
        <f t="shared" si="15"/>
        <v>-194467.17</v>
      </c>
      <c r="E49" s="78">
        <f t="shared" si="15"/>
        <v>-28352.589999999997</v>
      </c>
      <c r="F49" s="78">
        <f t="shared" si="15"/>
        <v>-12442.169999999998</v>
      </c>
      <c r="G49" s="78">
        <f t="shared" si="15"/>
        <v>-33821.339999999997</v>
      </c>
      <c r="H49" s="78">
        <f t="shared" si="15"/>
        <v>-25743.42</v>
      </c>
      <c r="I49" s="78">
        <f t="shared" si="15"/>
        <v>-13521.34</v>
      </c>
      <c r="J49" s="78">
        <f t="shared" si="15"/>
        <v>83832.83</v>
      </c>
      <c r="K49" s="78">
        <f t="shared" si="15"/>
        <v>-23237.589999999997</v>
      </c>
      <c r="L49" s="78">
        <f t="shared" si="15"/>
        <v>-28417.17</v>
      </c>
      <c r="M49" s="78">
        <f t="shared" si="15"/>
        <v>-6846.34</v>
      </c>
      <c r="N49" s="76"/>
      <c r="O49" s="78">
        <f>SUM(B49:M49)</f>
        <v>-613356.06000000006</v>
      </c>
    </row>
    <row r="50" spans="1:15" x14ac:dyDescent="0.35">
      <c r="B50" s="76"/>
      <c r="C50" s="76"/>
      <c r="D50" s="76"/>
      <c r="E50" s="76"/>
      <c r="F50" s="76"/>
      <c r="G50" s="76"/>
      <c r="H50" s="76"/>
      <c r="I50" s="76"/>
      <c r="J50" s="76"/>
      <c r="K50" s="76"/>
      <c r="L50" s="76"/>
      <c r="M50" s="76"/>
      <c r="N50" s="76"/>
    </row>
    <row r="51" spans="1:15" x14ac:dyDescent="0.35">
      <c r="O51" s="44"/>
    </row>
  </sheetData>
  <sheetProtection sheet="1" objects="1" scenarios="1"/>
  <mergeCells count="1">
    <mergeCell ref="A1:N1"/>
  </mergeCells>
  <printOptions horizontalCentered="1"/>
  <pageMargins left="0.39370078740157483" right="0.39370078740157483" top="0.39370078740157483" bottom="0.59055118110236227" header="0.19685039370078741" footer="0.19685039370078741"/>
  <pageSetup paperSize="9" scale="75" fitToHeight="10" orientation="landscape" r:id="rId1"/>
  <headerFooter>
    <oddFooter>Side &amp;P af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pane ySplit="3" topLeftCell="A4" activePane="bottomLeft" state="frozen"/>
      <selection pane="bottomLeft" activeCell="A4" sqref="A4"/>
    </sheetView>
  </sheetViews>
  <sheetFormatPr defaultColWidth="9.1796875" defaultRowHeight="14" x14ac:dyDescent="0.3"/>
  <cols>
    <col min="1" max="1" width="6.7265625" style="28" customWidth="1"/>
    <col min="2" max="2" width="35.7265625" style="28" customWidth="1"/>
    <col min="3" max="3" width="9.81640625" style="28" customWidth="1"/>
    <col min="4" max="5" width="19.1796875" style="28" customWidth="1"/>
    <col min="6" max="16384" width="9.1796875" style="28"/>
  </cols>
  <sheetData>
    <row r="1" spans="1:5" ht="20" x14ac:dyDescent="0.4">
      <c r="A1" s="225" t="str">
        <f>"Investeringsplan for "&amp;Vnavn</f>
        <v>Investeringsplan for Vandby Vandværk A.m.b.a.</v>
      </c>
      <c r="B1" s="225"/>
      <c r="C1" s="225"/>
      <c r="D1" s="225"/>
      <c r="E1" s="225"/>
    </row>
    <row r="2" spans="1:5" ht="15" customHeight="1" x14ac:dyDescent="0.45">
      <c r="B2" s="17"/>
      <c r="C2" s="17"/>
      <c r="D2" s="17"/>
      <c r="E2" s="17"/>
    </row>
    <row r="3" spans="1:5" x14ac:dyDescent="0.3">
      <c r="A3" s="154" t="s">
        <v>74</v>
      </c>
      <c r="B3" s="148" t="s">
        <v>75</v>
      </c>
      <c r="C3" s="149" t="s">
        <v>76</v>
      </c>
      <c r="D3" s="150" t="s">
        <v>77</v>
      </c>
      <c r="E3" s="151" t="s">
        <v>78</v>
      </c>
    </row>
    <row r="4" spans="1:5" s="30" customFormat="1" x14ac:dyDescent="0.3">
      <c r="A4" s="147">
        <f>TakstÅr</f>
        <v>2019</v>
      </c>
      <c r="B4" s="136" t="s">
        <v>79</v>
      </c>
      <c r="C4" s="137">
        <v>75</v>
      </c>
      <c r="D4" s="138">
        <v>50000</v>
      </c>
      <c r="E4" s="217">
        <f t="shared" ref="E4:E29" si="0">IF(C4&gt;0,D4/C4,"")</f>
        <v>666.66666666666663</v>
      </c>
    </row>
    <row r="5" spans="1:5" s="30" customFormat="1" x14ac:dyDescent="0.3">
      <c r="A5" s="147">
        <f>A4</f>
        <v>2019</v>
      </c>
      <c r="B5" s="136" t="s">
        <v>80</v>
      </c>
      <c r="C5" s="139">
        <v>75</v>
      </c>
      <c r="D5" s="31">
        <v>50000</v>
      </c>
      <c r="E5" s="217">
        <f t="shared" si="0"/>
        <v>666.66666666666663</v>
      </c>
    </row>
    <row r="6" spans="1:5" s="30" customFormat="1" x14ac:dyDescent="0.3">
      <c r="A6" s="147">
        <f>A5</f>
        <v>2019</v>
      </c>
      <c r="B6" s="136" t="s">
        <v>81</v>
      </c>
      <c r="C6" s="139">
        <v>75</v>
      </c>
      <c r="D6" s="31">
        <v>100000</v>
      </c>
      <c r="E6" s="217">
        <f t="shared" si="0"/>
        <v>1333.3333333333333</v>
      </c>
    </row>
    <row r="7" spans="1:5" s="30" customFormat="1" x14ac:dyDescent="0.3">
      <c r="A7" s="147">
        <f>A6</f>
        <v>2019</v>
      </c>
      <c r="B7" s="136" t="s">
        <v>82</v>
      </c>
      <c r="C7" s="139">
        <v>10</v>
      </c>
      <c r="D7" s="31">
        <f>100*1295</f>
        <v>129500</v>
      </c>
      <c r="E7" s="217">
        <f t="shared" si="0"/>
        <v>12950</v>
      </c>
    </row>
    <row r="8" spans="1:5" s="30" customFormat="1" x14ac:dyDescent="0.3">
      <c r="A8" s="147">
        <f>A7+1</f>
        <v>2020</v>
      </c>
      <c r="B8" s="136" t="s">
        <v>81</v>
      </c>
      <c r="C8" s="139">
        <v>75</v>
      </c>
      <c r="D8" s="140">
        <v>50000</v>
      </c>
      <c r="E8" s="217">
        <f t="shared" si="0"/>
        <v>666.66666666666663</v>
      </c>
    </row>
    <row r="9" spans="1:5" s="30" customFormat="1" x14ac:dyDescent="0.3">
      <c r="A9" s="147">
        <f>A8</f>
        <v>2020</v>
      </c>
      <c r="B9" s="141" t="s">
        <v>83</v>
      </c>
      <c r="C9" s="139">
        <v>20</v>
      </c>
      <c r="D9" s="140">
        <v>50000</v>
      </c>
      <c r="E9" s="217">
        <f t="shared" si="0"/>
        <v>2500</v>
      </c>
    </row>
    <row r="10" spans="1:5" s="30" customFormat="1" x14ac:dyDescent="0.3">
      <c r="A10" s="147">
        <f>A9</f>
        <v>2020</v>
      </c>
      <c r="B10" s="136" t="s">
        <v>82</v>
      </c>
      <c r="C10" s="139">
        <v>10</v>
      </c>
      <c r="D10" s="31">
        <f>100*1295</f>
        <v>129500</v>
      </c>
      <c r="E10" s="217">
        <f t="shared" si="0"/>
        <v>12950</v>
      </c>
    </row>
    <row r="11" spans="1:5" s="30" customFormat="1" x14ac:dyDescent="0.3">
      <c r="A11" s="147">
        <f>A10</f>
        <v>2020</v>
      </c>
      <c r="B11" s="141" t="s">
        <v>84</v>
      </c>
      <c r="C11" s="139">
        <v>30</v>
      </c>
      <c r="D11" s="140">
        <v>15000</v>
      </c>
      <c r="E11" s="217">
        <f t="shared" si="0"/>
        <v>500</v>
      </c>
    </row>
    <row r="12" spans="1:5" s="30" customFormat="1" x14ac:dyDescent="0.3">
      <c r="A12" s="147">
        <f>A11+1</f>
        <v>2021</v>
      </c>
      <c r="B12" s="141" t="s">
        <v>81</v>
      </c>
      <c r="C12" s="139">
        <v>75</v>
      </c>
      <c r="D12" s="140">
        <v>25000</v>
      </c>
      <c r="E12" s="217">
        <f t="shared" si="0"/>
        <v>333.33333333333331</v>
      </c>
    </row>
    <row r="13" spans="1:5" s="30" customFormat="1" x14ac:dyDescent="0.3">
      <c r="A13" s="147">
        <f>A12</f>
        <v>2021</v>
      </c>
      <c r="B13" s="141" t="s">
        <v>85</v>
      </c>
      <c r="C13" s="139">
        <v>10</v>
      </c>
      <c r="D13" s="140">
        <v>80000</v>
      </c>
      <c r="E13" s="217">
        <f t="shared" si="0"/>
        <v>8000</v>
      </c>
    </row>
    <row r="14" spans="1:5" s="30" customFormat="1" x14ac:dyDescent="0.3">
      <c r="A14" s="147">
        <f>A13</f>
        <v>2021</v>
      </c>
      <c r="B14" s="136" t="s">
        <v>82</v>
      </c>
      <c r="C14" s="139">
        <v>10</v>
      </c>
      <c r="D14" s="31">
        <f>100*1295</f>
        <v>129500</v>
      </c>
      <c r="E14" s="217">
        <f t="shared" si="0"/>
        <v>12950</v>
      </c>
    </row>
    <row r="15" spans="1:5" s="30" customFormat="1" x14ac:dyDescent="0.3">
      <c r="A15" s="147">
        <f>A14</f>
        <v>2021</v>
      </c>
      <c r="B15" s="141" t="s">
        <v>86</v>
      </c>
      <c r="C15" s="139">
        <v>25</v>
      </c>
      <c r="D15" s="140">
        <v>20000</v>
      </c>
      <c r="E15" s="217">
        <f t="shared" si="0"/>
        <v>800</v>
      </c>
    </row>
    <row r="16" spans="1:5" s="30" customFormat="1" x14ac:dyDescent="0.3">
      <c r="A16" s="147"/>
      <c r="B16" s="141"/>
      <c r="C16" s="139"/>
      <c r="D16" s="140"/>
      <c r="E16" s="217" t="str">
        <f>IF(C16&gt;0,D16/C16,"")</f>
        <v/>
      </c>
    </row>
    <row r="17" spans="1:5" s="30" customFormat="1" x14ac:dyDescent="0.3">
      <c r="A17" s="147"/>
      <c r="B17" s="155"/>
      <c r="C17" s="156"/>
      <c r="D17" s="31"/>
      <c r="E17" s="217"/>
    </row>
    <row r="18" spans="1:5" s="30" customFormat="1" x14ac:dyDescent="0.3">
      <c r="A18" s="147"/>
      <c r="B18" s="155"/>
      <c r="C18" s="156"/>
      <c r="D18" s="31"/>
      <c r="E18" s="217" t="str">
        <f>IF(C18&gt;0,D18/C18,"")</f>
        <v/>
      </c>
    </row>
    <row r="19" spans="1:5" s="30" customFormat="1" x14ac:dyDescent="0.3">
      <c r="A19" s="147"/>
      <c r="B19" s="155"/>
      <c r="C19" s="156"/>
      <c r="D19" s="31"/>
      <c r="E19" s="217" t="str">
        <f t="shared" si="0"/>
        <v/>
      </c>
    </row>
    <row r="20" spans="1:5" s="30" customFormat="1" x14ac:dyDescent="0.3">
      <c r="A20" s="147"/>
      <c r="B20" s="155"/>
      <c r="C20" s="156"/>
      <c r="D20" s="31"/>
      <c r="E20" s="217" t="str">
        <f>IF(C20&gt;0,D20/C20,"")</f>
        <v/>
      </c>
    </row>
    <row r="21" spans="1:5" s="30" customFormat="1" x14ac:dyDescent="0.3">
      <c r="A21" s="147"/>
      <c r="B21" s="155"/>
      <c r="C21" s="156"/>
      <c r="D21" s="31"/>
      <c r="E21" s="217" t="str">
        <f t="shared" si="0"/>
        <v/>
      </c>
    </row>
    <row r="22" spans="1:5" s="30" customFormat="1" x14ac:dyDescent="0.3">
      <c r="A22" s="147"/>
      <c r="B22" s="155"/>
      <c r="C22" s="156"/>
      <c r="D22" s="31"/>
      <c r="E22" s="217" t="str">
        <f t="shared" si="0"/>
        <v/>
      </c>
    </row>
    <row r="23" spans="1:5" s="30" customFormat="1" x14ac:dyDescent="0.3">
      <c r="A23" s="147"/>
      <c r="B23" s="141"/>
      <c r="C23" s="139"/>
      <c r="D23" s="140"/>
      <c r="E23" s="217" t="str">
        <f t="shared" si="0"/>
        <v/>
      </c>
    </row>
    <row r="24" spans="1:5" s="30" customFormat="1" x14ac:dyDescent="0.3">
      <c r="A24" s="147"/>
      <c r="B24" s="141"/>
      <c r="C24" s="139"/>
      <c r="D24" s="140"/>
      <c r="E24" s="217" t="str">
        <f t="shared" si="0"/>
        <v/>
      </c>
    </row>
    <row r="25" spans="1:5" s="30" customFormat="1" x14ac:dyDescent="0.3">
      <c r="A25" s="147"/>
      <c r="B25" s="141"/>
      <c r="C25" s="139"/>
      <c r="D25" s="140"/>
      <c r="E25" s="217" t="str">
        <f t="shared" si="0"/>
        <v/>
      </c>
    </row>
    <row r="26" spans="1:5" s="30" customFormat="1" x14ac:dyDescent="0.3">
      <c r="A26" s="147"/>
      <c r="B26" s="141"/>
      <c r="C26" s="139"/>
      <c r="D26" s="140"/>
      <c r="E26" s="217" t="str">
        <f t="shared" si="0"/>
        <v/>
      </c>
    </row>
    <row r="27" spans="1:5" s="30" customFormat="1" x14ac:dyDescent="0.3">
      <c r="A27" s="147"/>
      <c r="B27" s="29"/>
      <c r="C27" s="29"/>
      <c r="D27" s="29"/>
      <c r="E27" s="217" t="str">
        <f t="shared" si="0"/>
        <v/>
      </c>
    </row>
    <row r="28" spans="1:5" s="30" customFormat="1" x14ac:dyDescent="0.3">
      <c r="A28" s="147"/>
      <c r="B28" s="29"/>
      <c r="C28" s="29"/>
      <c r="D28" s="29"/>
      <c r="E28" s="217" t="str">
        <f t="shared" si="0"/>
        <v/>
      </c>
    </row>
    <row r="29" spans="1:5" s="30" customFormat="1" x14ac:dyDescent="0.3">
      <c r="A29" s="152"/>
      <c r="B29" s="153"/>
      <c r="C29" s="153"/>
      <c r="D29" s="153"/>
      <c r="E29" s="217" t="str">
        <f t="shared" si="0"/>
        <v/>
      </c>
    </row>
    <row r="30" spans="1:5" s="30" customFormat="1" x14ac:dyDescent="0.3">
      <c r="A30" s="32"/>
      <c r="B30" s="33" t="s">
        <v>87</v>
      </c>
      <c r="C30" s="32"/>
      <c r="D30" s="32"/>
      <c r="E30" s="32"/>
    </row>
    <row r="32" spans="1:5" x14ac:dyDescent="0.3">
      <c r="A32" s="34">
        <f>TakstÅr</f>
        <v>2019</v>
      </c>
      <c r="B32" s="35" t="s">
        <v>88</v>
      </c>
      <c r="C32" s="36"/>
      <c r="D32" s="37">
        <f t="shared" ref="D32:E41" si="1">SUMIF($A$4:$A$30,$A32,D$4:D$30)</f>
        <v>329500</v>
      </c>
      <c r="E32" s="37">
        <f t="shared" si="1"/>
        <v>15616.666666666666</v>
      </c>
    </row>
    <row r="33" spans="1:5" x14ac:dyDescent="0.3">
      <c r="A33" s="34">
        <f t="shared" ref="A33:A41" si="2">+A32+1</f>
        <v>2020</v>
      </c>
      <c r="B33" s="35" t="s">
        <v>88</v>
      </c>
      <c r="C33" s="36"/>
      <c r="D33" s="37">
        <f t="shared" si="1"/>
        <v>244500</v>
      </c>
      <c r="E33" s="37">
        <f t="shared" si="1"/>
        <v>16616.666666666664</v>
      </c>
    </row>
    <row r="34" spans="1:5" x14ac:dyDescent="0.3">
      <c r="A34" s="34">
        <f t="shared" si="2"/>
        <v>2021</v>
      </c>
      <c r="B34" s="35" t="s">
        <v>88</v>
      </c>
      <c r="C34" s="36"/>
      <c r="D34" s="37">
        <f t="shared" si="1"/>
        <v>254500</v>
      </c>
      <c r="E34" s="37">
        <f t="shared" si="1"/>
        <v>22083.333333333336</v>
      </c>
    </row>
    <row r="35" spans="1:5" x14ac:dyDescent="0.3">
      <c r="A35" s="34">
        <f t="shared" si="2"/>
        <v>2022</v>
      </c>
      <c r="B35" s="35" t="s">
        <v>88</v>
      </c>
      <c r="C35" s="36"/>
      <c r="D35" s="37">
        <f t="shared" si="1"/>
        <v>0</v>
      </c>
      <c r="E35" s="37">
        <f t="shared" si="1"/>
        <v>0</v>
      </c>
    </row>
    <row r="36" spans="1:5" x14ac:dyDescent="0.3">
      <c r="A36" s="34">
        <f t="shared" si="2"/>
        <v>2023</v>
      </c>
      <c r="B36" s="35" t="s">
        <v>88</v>
      </c>
      <c r="C36" s="36"/>
      <c r="D36" s="37">
        <f t="shared" si="1"/>
        <v>0</v>
      </c>
      <c r="E36" s="37">
        <f t="shared" si="1"/>
        <v>0</v>
      </c>
    </row>
    <row r="37" spans="1:5" x14ac:dyDescent="0.3">
      <c r="A37" s="34">
        <f t="shared" si="2"/>
        <v>2024</v>
      </c>
      <c r="B37" s="35" t="s">
        <v>88</v>
      </c>
      <c r="C37" s="36"/>
      <c r="D37" s="37">
        <f t="shared" si="1"/>
        <v>0</v>
      </c>
      <c r="E37" s="37">
        <f t="shared" si="1"/>
        <v>0</v>
      </c>
    </row>
    <row r="38" spans="1:5" x14ac:dyDescent="0.3">
      <c r="A38" s="34">
        <f t="shared" si="2"/>
        <v>2025</v>
      </c>
      <c r="B38" s="35" t="s">
        <v>88</v>
      </c>
      <c r="C38" s="36"/>
      <c r="D38" s="37">
        <f t="shared" si="1"/>
        <v>0</v>
      </c>
      <c r="E38" s="37">
        <f t="shared" si="1"/>
        <v>0</v>
      </c>
    </row>
    <row r="39" spans="1:5" x14ac:dyDescent="0.3">
      <c r="A39" s="34">
        <f t="shared" si="2"/>
        <v>2026</v>
      </c>
      <c r="B39" s="35" t="s">
        <v>88</v>
      </c>
      <c r="C39" s="36"/>
      <c r="D39" s="37">
        <f t="shared" si="1"/>
        <v>0</v>
      </c>
      <c r="E39" s="37">
        <f t="shared" si="1"/>
        <v>0</v>
      </c>
    </row>
    <row r="40" spans="1:5" x14ac:dyDescent="0.3">
      <c r="A40" s="34">
        <f t="shared" si="2"/>
        <v>2027</v>
      </c>
      <c r="B40" s="35" t="s">
        <v>88</v>
      </c>
      <c r="C40" s="36"/>
      <c r="D40" s="37">
        <f t="shared" si="1"/>
        <v>0</v>
      </c>
      <c r="E40" s="37">
        <f t="shared" si="1"/>
        <v>0</v>
      </c>
    </row>
    <row r="41" spans="1:5" x14ac:dyDescent="0.3">
      <c r="A41" s="34">
        <f t="shared" si="2"/>
        <v>2028</v>
      </c>
      <c r="B41" s="35" t="s">
        <v>88</v>
      </c>
      <c r="C41" s="36"/>
      <c r="D41" s="37">
        <f t="shared" si="1"/>
        <v>0</v>
      </c>
      <c r="E41" s="37">
        <f t="shared" si="1"/>
        <v>0</v>
      </c>
    </row>
    <row r="42" spans="1:5" x14ac:dyDescent="0.3">
      <c r="A42" s="38"/>
      <c r="B42" s="39" t="s">
        <v>71</v>
      </c>
      <c r="C42" s="40"/>
      <c r="D42" s="41">
        <f>SUM(D32:D41)</f>
        <v>828500</v>
      </c>
      <c r="E42" s="41">
        <f>SUM(E32:E41)</f>
        <v>54316.666666666664</v>
      </c>
    </row>
  </sheetData>
  <sheetProtection sheet="1" insertRows="0" deleteRows="0"/>
  <mergeCells count="1">
    <mergeCell ref="A1:E1"/>
  </mergeCells>
  <printOptions horizontalCentered="1"/>
  <pageMargins left="0.59055118110236227" right="0.59055118110236227" top="0.39370078740157483" bottom="0.59055118110236227" header="0.19685039370078741" footer="0.19685039370078741"/>
  <pageSetup paperSize="9" orientation="portrait" r:id="rId1"/>
  <headerFooter>
    <oddFooter>Side &amp;P af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9"/>
  <sheetViews>
    <sheetView workbookViewId="0">
      <pane ySplit="3" topLeftCell="A4" activePane="bottomLeft" state="frozen"/>
      <selection pane="bottomLeft" activeCell="A4" sqref="A4"/>
    </sheetView>
  </sheetViews>
  <sheetFormatPr defaultColWidth="8.81640625" defaultRowHeight="14.5" x14ac:dyDescent="0.35"/>
  <cols>
    <col min="1" max="1" width="40.7265625" customWidth="1"/>
    <col min="2" max="4" width="15.7265625" customWidth="1"/>
    <col min="7" max="7" width="22.453125" customWidth="1"/>
  </cols>
  <sheetData>
    <row r="1" spans="1:8" ht="18.5" x14ac:dyDescent="0.45">
      <c r="A1" s="229" t="str">
        <f>"Driftsbudget for "&amp;Vnavn&amp;" "&amp;TakstÅr&amp;" - "&amp;TakstÅr+1</f>
        <v>Driftsbudget for Vandby Vandværk A.m.b.a. 2019 - 2020</v>
      </c>
      <c r="B1" s="229"/>
      <c r="C1" s="229"/>
      <c r="D1" s="229"/>
    </row>
    <row r="2" spans="1:8" ht="5.15" customHeight="1" x14ac:dyDescent="0.35">
      <c r="A2" s="10"/>
    </row>
    <row r="3" spans="1:8" x14ac:dyDescent="0.35">
      <c r="B3" s="1" t="str">
        <f>"Regnskab "&amp;RegnÅr</f>
        <v>Regnskab 2017</v>
      </c>
      <c r="C3" s="8" t="str">
        <f>"Budget "&amp;TakstÅr</f>
        <v>Budget 2019</v>
      </c>
      <c r="D3" s="8" t="str">
        <f>"Budget "&amp;TakstÅr+1</f>
        <v>Budget 2020</v>
      </c>
    </row>
    <row r="4" spans="1:8" x14ac:dyDescent="0.35">
      <c r="A4" s="1" t="s">
        <v>89</v>
      </c>
      <c r="B4" s="3"/>
      <c r="C4" s="3"/>
      <c r="D4" s="3"/>
      <c r="E4" s="3"/>
      <c r="F4" s="3"/>
    </row>
    <row r="5" spans="1:8" x14ac:dyDescent="0.35">
      <c r="A5" s="83" t="s">
        <v>90</v>
      </c>
      <c r="B5" s="84">
        <f>107100+195157</f>
        <v>302257</v>
      </c>
      <c r="C5" s="84">
        <f>108000+200000</f>
        <v>308000</v>
      </c>
      <c r="D5" s="84">
        <f>130000+250000</f>
        <v>380000</v>
      </c>
      <c r="E5" s="3"/>
      <c r="F5" s="3"/>
    </row>
    <row r="6" spans="1:8" x14ac:dyDescent="0.35">
      <c r="A6" s="83" t="s">
        <v>91</v>
      </c>
      <c r="B6" s="84">
        <v>0</v>
      </c>
      <c r="C6" s="84">
        <v>5000</v>
      </c>
      <c r="D6" s="84">
        <v>5000</v>
      </c>
      <c r="E6" s="3"/>
      <c r="F6" s="3"/>
    </row>
    <row r="7" spans="1:8" x14ac:dyDescent="0.35">
      <c r="A7" s="83" t="s">
        <v>92</v>
      </c>
      <c r="B7" s="84">
        <v>750</v>
      </c>
      <c r="C7" s="84">
        <v>1000</v>
      </c>
      <c r="D7" s="84">
        <v>1000</v>
      </c>
      <c r="E7" s="3"/>
      <c r="F7" s="3"/>
    </row>
    <row r="8" spans="1:8" x14ac:dyDescent="0.35">
      <c r="A8" s="85" t="s">
        <v>93</v>
      </c>
      <c r="B8" s="86">
        <v>3889</v>
      </c>
      <c r="C8" s="86">
        <v>4000</v>
      </c>
      <c r="D8" s="86">
        <v>4000</v>
      </c>
      <c r="E8" s="3"/>
      <c r="F8" s="3"/>
    </row>
    <row r="9" spans="1:8" s="1" customFormat="1" x14ac:dyDescent="0.35">
      <c r="A9" s="1" t="s">
        <v>94</v>
      </c>
      <c r="B9" s="42">
        <f>SUM(B5:B8)</f>
        <v>306896</v>
      </c>
      <c r="C9" s="42">
        <f>SUM(C5:C8)</f>
        <v>318000</v>
      </c>
      <c r="D9" s="42">
        <f>SUM(D5:D8)</f>
        <v>390000</v>
      </c>
      <c r="E9" s="7"/>
      <c r="F9" s="7"/>
      <c r="H9" s="9"/>
    </row>
    <row r="10" spans="1:8" s="1" customFormat="1" ht="5.15" customHeight="1" x14ac:dyDescent="0.35">
      <c r="B10" s="9"/>
      <c r="C10" s="9"/>
      <c r="D10" s="9"/>
      <c r="E10" s="7"/>
      <c r="F10" s="7"/>
      <c r="H10" s="9"/>
    </row>
    <row r="11" spans="1:8" x14ac:dyDescent="0.35">
      <c r="A11" s="1" t="s">
        <v>95</v>
      </c>
      <c r="B11" s="5"/>
      <c r="C11" s="5"/>
      <c r="D11" s="5"/>
      <c r="E11" s="3"/>
      <c r="F11" s="3"/>
      <c r="H11" s="5"/>
    </row>
    <row r="12" spans="1:8" x14ac:dyDescent="0.35">
      <c r="A12" s="83" t="s">
        <v>43</v>
      </c>
      <c r="B12" s="84">
        <f>9730+15517</f>
        <v>25247</v>
      </c>
      <c r="C12" s="84">
        <f>30000/1.25</f>
        <v>24000</v>
      </c>
      <c r="D12" s="84">
        <v>45000</v>
      </c>
      <c r="E12" s="3"/>
      <c r="F12" s="3"/>
      <c r="H12" s="5"/>
    </row>
    <row r="13" spans="1:8" x14ac:dyDescent="0.35">
      <c r="A13" s="83" t="s">
        <v>44</v>
      </c>
      <c r="B13" s="84">
        <v>9805</v>
      </c>
      <c r="C13" s="84">
        <v>10000</v>
      </c>
      <c r="D13" s="84">
        <v>11000</v>
      </c>
      <c r="E13" s="3"/>
      <c r="F13" s="3"/>
      <c r="H13" s="5"/>
    </row>
    <row r="14" spans="1:8" x14ac:dyDescent="0.35">
      <c r="A14" s="83" t="s">
        <v>45</v>
      </c>
      <c r="B14" s="84">
        <v>13273</v>
      </c>
      <c r="C14" s="84">
        <f>16875/1.25</f>
        <v>13500</v>
      </c>
      <c r="D14" s="84">
        <v>17000</v>
      </c>
      <c r="E14" s="3"/>
      <c r="F14" s="3"/>
      <c r="H14" s="5"/>
    </row>
    <row r="15" spans="1:8" x14ac:dyDescent="0.35">
      <c r="A15" s="83" t="s">
        <v>46</v>
      </c>
      <c r="B15" s="84">
        <v>6000</v>
      </c>
      <c r="C15" s="84">
        <v>6000</v>
      </c>
      <c r="D15" s="84">
        <v>6500</v>
      </c>
      <c r="E15" s="3"/>
      <c r="F15" s="3"/>
      <c r="H15" s="5"/>
    </row>
    <row r="16" spans="1:8" x14ac:dyDescent="0.35">
      <c r="A16" s="83" t="s">
        <v>47</v>
      </c>
      <c r="B16" s="84">
        <v>2000</v>
      </c>
      <c r="C16" s="84">
        <v>3000</v>
      </c>
      <c r="D16" s="84">
        <v>3000</v>
      </c>
      <c r="E16" s="3"/>
      <c r="F16" s="3"/>
      <c r="H16" s="5"/>
    </row>
    <row r="17" spans="1:8" x14ac:dyDescent="0.35">
      <c r="A17" s="85" t="s">
        <v>96</v>
      </c>
      <c r="B17" s="86">
        <v>45000</v>
      </c>
      <c r="C17" s="86">
        <v>50000</v>
      </c>
      <c r="D17" s="86">
        <v>55000</v>
      </c>
      <c r="E17" s="3"/>
      <c r="F17" s="3"/>
      <c r="H17" s="5"/>
    </row>
    <row r="18" spans="1:8" x14ac:dyDescent="0.35">
      <c r="A18" s="1" t="s">
        <v>49</v>
      </c>
      <c r="B18" s="9">
        <f>SUM(B12:B17)</f>
        <v>101325</v>
      </c>
      <c r="C18" s="9">
        <f t="shared" ref="C18:D18" si="0">SUM(C12:C17)</f>
        <v>106500</v>
      </c>
      <c r="D18" s="9">
        <f t="shared" si="0"/>
        <v>137500</v>
      </c>
      <c r="E18" s="3"/>
      <c r="F18" s="3"/>
      <c r="H18" s="5"/>
    </row>
    <row r="19" spans="1:8" ht="5.15" customHeight="1" x14ac:dyDescent="0.35">
      <c r="A19" s="48"/>
      <c r="B19" s="49"/>
      <c r="C19" s="49"/>
      <c r="D19" s="49"/>
      <c r="F19" s="3"/>
    </row>
    <row r="20" spans="1:8" x14ac:dyDescent="0.35">
      <c r="A20" s="1" t="s">
        <v>97</v>
      </c>
      <c r="B20" s="49"/>
      <c r="C20" s="49"/>
      <c r="D20" s="49"/>
      <c r="F20" s="3"/>
    </row>
    <row r="21" spans="1:8" x14ac:dyDescent="0.35">
      <c r="A21" s="83" t="s">
        <v>43</v>
      </c>
      <c r="B21" s="87">
        <v>15478</v>
      </c>
      <c r="C21" s="87">
        <v>20000</v>
      </c>
      <c r="D21" s="87">
        <v>22000</v>
      </c>
      <c r="F21" s="3"/>
    </row>
    <row r="22" spans="1:8" x14ac:dyDescent="0.35">
      <c r="A22" s="83" t="s">
        <v>44</v>
      </c>
      <c r="B22" s="87">
        <v>8546</v>
      </c>
      <c r="C22" s="87">
        <v>9000</v>
      </c>
      <c r="D22" s="87">
        <v>10000</v>
      </c>
      <c r="F22" s="3"/>
    </row>
    <row r="23" spans="1:8" x14ac:dyDescent="0.35">
      <c r="A23" s="83" t="s">
        <v>51</v>
      </c>
      <c r="B23" s="87">
        <v>3250</v>
      </c>
      <c r="C23" s="87">
        <v>4000</v>
      </c>
      <c r="D23" s="87">
        <v>4500</v>
      </c>
      <c r="F23" s="3"/>
    </row>
    <row r="24" spans="1:8" x14ac:dyDescent="0.35">
      <c r="A24" s="85" t="s">
        <v>96</v>
      </c>
      <c r="B24" s="88">
        <v>35000</v>
      </c>
      <c r="C24" s="88">
        <v>40000</v>
      </c>
      <c r="D24" s="88">
        <v>45000</v>
      </c>
      <c r="F24" s="3"/>
    </row>
    <row r="25" spans="1:8" x14ac:dyDescent="0.35">
      <c r="A25" s="1" t="s">
        <v>52</v>
      </c>
      <c r="B25" s="27">
        <f>SUM(B21:B24)</f>
        <v>62274</v>
      </c>
      <c r="C25" s="27">
        <f t="shared" ref="C25:D25" si="1">SUM(C21:C24)</f>
        <v>73000</v>
      </c>
      <c r="D25" s="27">
        <f t="shared" si="1"/>
        <v>81500</v>
      </c>
      <c r="F25" s="3"/>
    </row>
    <row r="26" spans="1:8" ht="5.15" customHeight="1" x14ac:dyDescent="0.35">
      <c r="A26" s="48"/>
      <c r="B26" s="49"/>
      <c r="C26" s="49"/>
      <c r="D26" s="49"/>
      <c r="F26" s="3"/>
    </row>
    <row r="27" spans="1:8" x14ac:dyDescent="0.35">
      <c r="A27" s="1" t="s">
        <v>53</v>
      </c>
      <c r="B27" s="49"/>
      <c r="C27" s="49"/>
      <c r="D27" s="49"/>
      <c r="F27" s="3"/>
    </row>
    <row r="28" spans="1:8" x14ac:dyDescent="0.35">
      <c r="A28" s="83" t="s">
        <v>55</v>
      </c>
      <c r="B28" s="84">
        <v>445</v>
      </c>
      <c r="C28" s="84">
        <f>3125/1.25</f>
        <v>2500</v>
      </c>
      <c r="D28" s="84">
        <v>2500</v>
      </c>
      <c r="F28" s="3"/>
      <c r="H28" s="5"/>
    </row>
    <row r="29" spans="1:8" x14ac:dyDescent="0.35">
      <c r="A29" s="83" t="s">
        <v>54</v>
      </c>
      <c r="B29" s="84">
        <v>4443</v>
      </c>
      <c r="C29" s="84">
        <f>6125/1.25</f>
        <v>4900</v>
      </c>
      <c r="D29" s="84">
        <v>30000</v>
      </c>
      <c r="E29" s="3"/>
      <c r="F29" s="3"/>
      <c r="H29" s="5"/>
    </row>
    <row r="30" spans="1:8" x14ac:dyDescent="0.35">
      <c r="A30" s="83" t="s">
        <v>56</v>
      </c>
      <c r="B30" s="84">
        <v>4650</v>
      </c>
      <c r="C30" s="84">
        <f>6250/1.25</f>
        <v>5000</v>
      </c>
      <c r="D30" s="84">
        <v>5000</v>
      </c>
      <c r="E30" s="3"/>
      <c r="F30" s="3"/>
      <c r="H30" s="5"/>
    </row>
    <row r="31" spans="1:8" x14ac:dyDescent="0.35">
      <c r="A31" s="83" t="s">
        <v>57</v>
      </c>
      <c r="B31" s="84">
        <v>37230</v>
      </c>
      <c r="C31" s="84">
        <v>41900</v>
      </c>
      <c r="D31" s="84">
        <v>42000</v>
      </c>
      <c r="E31" s="3"/>
      <c r="F31" s="3"/>
      <c r="H31" s="5"/>
    </row>
    <row r="32" spans="1:8" x14ac:dyDescent="0.35">
      <c r="A32" s="83" t="s">
        <v>58</v>
      </c>
      <c r="B32" s="84">
        <v>2251</v>
      </c>
      <c r="C32" s="84">
        <f>2695/1.25</f>
        <v>2156</v>
      </c>
      <c r="D32" s="84">
        <v>250</v>
      </c>
      <c r="E32" s="3"/>
      <c r="F32" s="3"/>
      <c r="H32" s="5"/>
    </row>
    <row r="33" spans="1:8" x14ac:dyDescent="0.35">
      <c r="A33" s="83" t="s">
        <v>59</v>
      </c>
      <c r="B33" s="84">
        <v>20</v>
      </c>
      <c r="C33" s="84">
        <f>875/1.25</f>
        <v>700</v>
      </c>
      <c r="D33" s="84">
        <v>700</v>
      </c>
      <c r="E33" s="3"/>
      <c r="F33" s="3"/>
      <c r="G33" s="2"/>
      <c r="H33" s="6"/>
    </row>
    <row r="34" spans="1:8" x14ac:dyDescent="0.35">
      <c r="A34" s="83" t="s">
        <v>60</v>
      </c>
      <c r="B34" s="84">
        <v>8040</v>
      </c>
      <c r="C34" s="84">
        <v>15000</v>
      </c>
      <c r="D34" s="84">
        <v>15500</v>
      </c>
      <c r="E34" s="3"/>
      <c r="F34" s="3"/>
      <c r="G34" s="2"/>
      <c r="H34" s="5"/>
    </row>
    <row r="35" spans="1:8" x14ac:dyDescent="0.35">
      <c r="A35" s="83" t="s">
        <v>61</v>
      </c>
      <c r="B35" s="84">
        <v>2735</v>
      </c>
      <c r="C35" s="84">
        <v>10600</v>
      </c>
      <c r="D35" s="84">
        <v>12000</v>
      </c>
      <c r="E35" s="3"/>
      <c r="F35" s="3"/>
      <c r="G35" s="2"/>
      <c r="H35" s="5"/>
    </row>
    <row r="36" spans="1:8" x14ac:dyDescent="0.35">
      <c r="A36" s="83" t="s">
        <v>62</v>
      </c>
      <c r="B36" s="84">
        <v>0</v>
      </c>
      <c r="C36" s="84">
        <f>6500/1.25</f>
        <v>5200</v>
      </c>
      <c r="D36" s="84">
        <v>6000</v>
      </c>
      <c r="E36" s="3"/>
      <c r="F36" s="3"/>
      <c r="G36" s="2"/>
      <c r="H36" s="6"/>
    </row>
    <row r="37" spans="1:8" x14ac:dyDescent="0.35">
      <c r="A37" s="83" t="s">
        <v>63</v>
      </c>
      <c r="B37" s="84">
        <v>6252</v>
      </c>
      <c r="C37" s="84">
        <f>9050/1.25</f>
        <v>7240</v>
      </c>
      <c r="D37" s="84">
        <v>7500</v>
      </c>
      <c r="E37" s="3"/>
      <c r="F37" s="3"/>
      <c r="H37" s="5"/>
    </row>
    <row r="38" spans="1:8" x14ac:dyDescent="0.35">
      <c r="A38" s="83" t="s">
        <v>64</v>
      </c>
      <c r="B38" s="84">
        <f>3109+1639</f>
        <v>4748</v>
      </c>
      <c r="C38" s="84">
        <f>10000/1.25</f>
        <v>8000</v>
      </c>
      <c r="D38" s="84">
        <v>8000</v>
      </c>
      <c r="E38" s="3"/>
      <c r="F38" s="3"/>
      <c r="H38" s="5"/>
    </row>
    <row r="39" spans="1:8" x14ac:dyDescent="0.35">
      <c r="A39" s="83" t="s">
        <v>65</v>
      </c>
      <c r="B39" s="84">
        <v>500</v>
      </c>
      <c r="C39" s="84">
        <f>6500/1.25</f>
        <v>5200</v>
      </c>
      <c r="D39" s="84">
        <v>3500</v>
      </c>
      <c r="E39" s="3"/>
      <c r="F39" s="3"/>
    </row>
    <row r="40" spans="1:8" s="1" customFormat="1" x14ac:dyDescent="0.35">
      <c r="A40" s="1" t="s">
        <v>66</v>
      </c>
      <c r="B40" s="42">
        <f>SUM(B28:B39)</f>
        <v>71314</v>
      </c>
      <c r="C40" s="42">
        <f>SUM(C28:C39)</f>
        <v>108396</v>
      </c>
      <c r="D40" s="42">
        <f>SUM(D28:D39)</f>
        <v>132950</v>
      </c>
      <c r="E40" s="7"/>
      <c r="F40" s="7"/>
    </row>
    <row r="41" spans="1:8" ht="5.15" customHeight="1" x14ac:dyDescent="0.35">
      <c r="B41" s="3"/>
      <c r="C41" s="3"/>
      <c r="D41" s="3"/>
      <c r="E41" s="3"/>
      <c r="F41" s="3"/>
    </row>
    <row r="42" spans="1:8" ht="15" thickBot="1" x14ac:dyDescent="0.4">
      <c r="A42" s="50" t="s">
        <v>98</v>
      </c>
      <c r="B42" s="51">
        <f>B18+B25+B40</f>
        <v>234913</v>
      </c>
      <c r="C42" s="51">
        <f>C18+C25+C40</f>
        <v>287896</v>
      </c>
      <c r="D42" s="51">
        <f>D18+D25+D40</f>
        <v>351950</v>
      </c>
      <c r="E42" s="3"/>
      <c r="F42" s="3"/>
    </row>
    <row r="43" spans="1:8" ht="5.15" customHeight="1" thickTop="1" x14ac:dyDescent="0.35">
      <c r="B43" s="3"/>
      <c r="C43" s="3"/>
      <c r="D43" s="3"/>
      <c r="E43" s="3"/>
      <c r="F43" s="3"/>
    </row>
    <row r="44" spans="1:8" ht="15" customHeight="1" thickBot="1" x14ac:dyDescent="0.4">
      <c r="A44" s="50" t="s">
        <v>99</v>
      </c>
      <c r="B44" s="51">
        <f>B9-B42</f>
        <v>71983</v>
      </c>
      <c r="C44" s="51">
        <f>C9-C42</f>
        <v>30104</v>
      </c>
      <c r="D44" s="51">
        <f>D9-D42</f>
        <v>38050</v>
      </c>
      <c r="E44" s="3"/>
      <c r="F44" s="3"/>
    </row>
    <row r="45" spans="1:8" ht="5.15" customHeight="1" thickTop="1" x14ac:dyDescent="0.35">
      <c r="B45" s="3"/>
      <c r="C45" s="3"/>
      <c r="D45" s="3"/>
      <c r="E45" s="3"/>
      <c r="F45" s="3"/>
    </row>
    <row r="46" spans="1:8" x14ac:dyDescent="0.35">
      <c r="A46" s="69" t="str">
        <f>"Bemærkninger til budget "&amp;TakstÅr</f>
        <v>Bemærkninger til budget 2019</v>
      </c>
      <c r="B46" s="57"/>
      <c r="C46" s="160"/>
      <c r="D46" s="160"/>
      <c r="E46" s="3"/>
      <c r="F46" s="3"/>
    </row>
    <row r="47" spans="1:8" x14ac:dyDescent="0.35">
      <c r="A47" s="230" t="s">
        <v>100</v>
      </c>
      <c r="B47" s="230"/>
      <c r="C47" s="230"/>
      <c r="D47" s="230"/>
      <c r="E47" s="3"/>
      <c r="F47" s="3"/>
    </row>
    <row r="48" spans="1:8" x14ac:dyDescent="0.35">
      <c r="A48" s="230" t="s">
        <v>101</v>
      </c>
      <c r="B48" s="230"/>
      <c r="C48" s="230"/>
      <c r="D48" s="230"/>
    </row>
    <row r="49" spans="1:4" x14ac:dyDescent="0.35">
      <c r="A49" s="230" t="s">
        <v>102</v>
      </c>
      <c r="B49" s="230"/>
      <c r="C49" s="230"/>
      <c r="D49" s="230"/>
    </row>
    <row r="50" spans="1:4" x14ac:dyDescent="0.35">
      <c r="A50" s="219"/>
      <c r="B50" s="219"/>
      <c r="C50" s="219"/>
      <c r="D50" s="219"/>
    </row>
    <row r="51" spans="1:4" x14ac:dyDescent="0.35">
      <c r="A51" s="230"/>
      <c r="B51" s="230"/>
      <c r="C51" s="230"/>
      <c r="D51" s="230"/>
    </row>
    <row r="52" spans="1:4" ht="5.15" customHeight="1" x14ac:dyDescent="0.35">
      <c r="A52" s="157"/>
      <c r="B52" s="157"/>
      <c r="C52" s="157"/>
      <c r="D52" s="157"/>
    </row>
    <row r="53" spans="1:4" x14ac:dyDescent="0.35">
      <c r="A53" s="69" t="str">
        <f>"Bemærkninger til budget "&amp;TakstÅr+1</f>
        <v>Bemærkninger til budget 2020</v>
      </c>
      <c r="B53" s="16"/>
      <c r="C53" s="57"/>
      <c r="D53" s="57"/>
    </row>
    <row r="54" spans="1:4" x14ac:dyDescent="0.35">
      <c r="A54" s="230" t="s">
        <v>103</v>
      </c>
      <c r="B54" s="230"/>
      <c r="C54" s="230"/>
      <c r="D54" s="230"/>
    </row>
    <row r="55" spans="1:4" x14ac:dyDescent="0.35">
      <c r="A55" s="230" t="s">
        <v>104</v>
      </c>
      <c r="B55" s="230"/>
      <c r="C55" s="230"/>
      <c r="D55" s="230"/>
    </row>
    <row r="56" spans="1:4" x14ac:dyDescent="0.35">
      <c r="A56" s="230" t="s">
        <v>105</v>
      </c>
      <c r="B56" s="230"/>
      <c r="C56" s="230"/>
      <c r="D56" s="230"/>
    </row>
    <row r="57" spans="1:4" x14ac:dyDescent="0.35">
      <c r="A57" s="230" t="s">
        <v>106</v>
      </c>
      <c r="B57" s="230"/>
      <c r="C57" s="230"/>
      <c r="D57" s="230"/>
    </row>
    <row r="58" spans="1:4" x14ac:dyDescent="0.35">
      <c r="A58" s="230" t="s">
        <v>107</v>
      </c>
      <c r="B58" s="230"/>
      <c r="C58" s="230"/>
      <c r="D58" s="230"/>
    </row>
    <row r="59" spans="1:4" x14ac:dyDescent="0.35">
      <c r="A59" s="16"/>
      <c r="B59" s="16"/>
      <c r="C59" s="16"/>
      <c r="D59" s="16"/>
    </row>
  </sheetData>
  <sheetProtection sheet="1" insertRows="0" deleteRows="0"/>
  <mergeCells count="10">
    <mergeCell ref="A58:D58"/>
    <mergeCell ref="A54:D54"/>
    <mergeCell ref="A55:D55"/>
    <mergeCell ref="A56:D56"/>
    <mergeCell ref="A57:D57"/>
    <mergeCell ref="A1:D1"/>
    <mergeCell ref="A47:D47"/>
    <mergeCell ref="A48:D48"/>
    <mergeCell ref="A49:D49"/>
    <mergeCell ref="A51:D51"/>
  </mergeCells>
  <pageMargins left="0.59055118110236227" right="0.59055118110236227" top="0.39370078740157483" bottom="0.59055118110236227" header="0.19685039370078741" footer="0.19685039370078741"/>
  <pageSetup paperSize="9" orientation="portrait" r:id="rId1"/>
  <headerFooter>
    <oddFooter>Side &amp;P af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7"/>
  <sheetViews>
    <sheetView zoomScaleNormal="100" workbookViewId="0">
      <pane ySplit="3" topLeftCell="A4" activePane="bottomLeft" state="frozen"/>
      <selection pane="bottomLeft" activeCell="A4" sqref="A4"/>
    </sheetView>
  </sheetViews>
  <sheetFormatPr defaultColWidth="8.81640625" defaultRowHeight="14.5" x14ac:dyDescent="0.35"/>
  <cols>
    <col min="1" max="1" width="10.7265625" customWidth="1"/>
    <col min="2" max="2" width="20.7265625" customWidth="1"/>
    <col min="3" max="3" width="8.7265625" customWidth="1"/>
    <col min="4" max="4" width="12.7265625" customWidth="1"/>
    <col min="5" max="5" width="40.7265625" customWidth="1"/>
    <col min="6" max="6" width="12.7265625" style="163" customWidth="1"/>
    <col min="7" max="10" width="12.7265625" customWidth="1"/>
    <col min="11" max="11" width="8.7265625" customWidth="1"/>
    <col min="12" max="14" width="12.7265625" customWidth="1"/>
  </cols>
  <sheetData>
    <row r="1" spans="1:14" ht="23.5" x14ac:dyDescent="0.55000000000000004">
      <c r="C1" s="231" t="str">
        <f>"Anlægskartotek for "&amp;Vnavn&amp;" pr. 31/12-"&amp;RegnÅr</f>
        <v>Anlægskartotek for Vandby Vandværk A.m.b.a. pr. 31/12-2017</v>
      </c>
      <c r="D1" s="231"/>
      <c r="E1" s="231"/>
      <c r="F1" s="231"/>
      <c r="G1" s="231"/>
      <c r="H1" s="231"/>
      <c r="I1" s="231"/>
      <c r="J1" s="231"/>
      <c r="K1" s="231"/>
      <c r="L1" s="231"/>
      <c r="M1" s="231"/>
      <c r="N1" s="231"/>
    </row>
    <row r="2" spans="1:14" ht="10" customHeight="1" x14ac:dyDescent="0.35"/>
    <row r="3" spans="1:14" ht="29" x14ac:dyDescent="0.35">
      <c r="A3" s="161" t="s">
        <v>108</v>
      </c>
      <c r="B3" s="161" t="s">
        <v>109</v>
      </c>
      <c r="C3" s="162" t="s">
        <v>110</v>
      </c>
      <c r="D3" s="161" t="s">
        <v>111</v>
      </c>
      <c r="E3" s="161" t="s">
        <v>112</v>
      </c>
      <c r="F3" s="162" t="s">
        <v>113</v>
      </c>
      <c r="G3" s="162" t="s">
        <v>114</v>
      </c>
      <c r="H3" s="162" t="s">
        <v>115</v>
      </c>
      <c r="I3" s="162" t="s">
        <v>116</v>
      </c>
      <c r="J3" s="162" t="s">
        <v>117</v>
      </c>
      <c r="K3" s="161" t="s">
        <v>118</v>
      </c>
      <c r="L3" s="162" t="s">
        <v>119</v>
      </c>
      <c r="M3" s="162" t="s">
        <v>120</v>
      </c>
      <c r="N3" s="162" t="s">
        <v>121</v>
      </c>
    </row>
    <row r="4" spans="1:14" x14ac:dyDescent="0.35">
      <c r="A4" s="164"/>
      <c r="B4" s="167"/>
      <c r="C4" s="165"/>
      <c r="D4" s="165"/>
      <c r="E4" s="168" t="s">
        <v>122</v>
      </c>
      <c r="F4" s="165"/>
      <c r="G4" s="166"/>
      <c r="H4" s="218" t="str">
        <f t="shared" ref="H4:H29" si="0">IF(F4&gt;0,IF((G4/F4)*(RegnÅr-C4)+L4+M4&gt;G4,G4-L4-M4,(G4/F4)*(RegnÅr-C4)),"")</f>
        <v/>
      </c>
      <c r="I4" s="218" t="str">
        <f t="shared" ref="I4:I29" si="1">IF(F4&gt;0,IF((G4-H4-L4-M4)&gt;0,G4/F4,0),"")</f>
        <v/>
      </c>
      <c r="J4" s="218" t="str">
        <f t="shared" ref="J4:J29" si="2">IF(F4&gt;0,H4+I4+L4,"")</f>
        <v/>
      </c>
      <c r="K4" s="177" t="str">
        <f t="shared" ref="K4:K29" si="3">IF(SUM(L4:M4)&lt;&gt;0,C4+(H4/(G4/F4))-1,"")</f>
        <v/>
      </c>
      <c r="L4" s="166"/>
      <c r="M4" s="166"/>
      <c r="N4" s="218" t="str">
        <f t="shared" ref="N4:N29" si="4">IF(F4&gt;0,G4-J4-M4,"")</f>
        <v/>
      </c>
    </row>
    <row r="5" spans="1:14" x14ac:dyDescent="0.35">
      <c r="A5" s="113"/>
      <c r="B5" s="174"/>
      <c r="C5" s="175"/>
      <c r="D5" s="175"/>
      <c r="E5" s="113"/>
      <c r="F5" s="175"/>
      <c r="G5" s="115"/>
      <c r="H5" s="96" t="str">
        <f t="shared" si="0"/>
        <v/>
      </c>
      <c r="I5" s="96" t="str">
        <f t="shared" si="1"/>
        <v/>
      </c>
      <c r="J5" s="96" t="str">
        <f t="shared" si="2"/>
        <v/>
      </c>
      <c r="K5" s="176" t="str">
        <f t="shared" si="3"/>
        <v/>
      </c>
      <c r="L5" s="115"/>
      <c r="M5" s="115"/>
      <c r="N5" s="96" t="str">
        <f t="shared" si="4"/>
        <v/>
      </c>
    </row>
    <row r="6" spans="1:14" x14ac:dyDescent="0.35">
      <c r="A6" s="113"/>
      <c r="B6" s="174"/>
      <c r="C6" s="175">
        <v>2015</v>
      </c>
      <c r="D6" s="175" t="s">
        <v>123</v>
      </c>
      <c r="E6" s="113" t="s">
        <v>124</v>
      </c>
      <c r="F6" s="175">
        <v>75</v>
      </c>
      <c r="G6" s="115">
        <f>200000+136945.53</f>
        <v>336945.53</v>
      </c>
      <c r="H6" s="96">
        <f t="shared" si="0"/>
        <v>8985.2141333333348</v>
      </c>
      <c r="I6" s="96">
        <f t="shared" si="1"/>
        <v>4492.6070666666674</v>
      </c>
      <c r="J6" s="96">
        <f t="shared" si="2"/>
        <v>13477.821200000002</v>
      </c>
      <c r="K6" s="176" t="str">
        <f t="shared" si="3"/>
        <v/>
      </c>
      <c r="L6" s="115"/>
      <c r="M6" s="115"/>
      <c r="N6" s="96">
        <f t="shared" si="4"/>
        <v>323467.70880000002</v>
      </c>
    </row>
    <row r="7" spans="1:14" x14ac:dyDescent="0.35">
      <c r="A7" s="113"/>
      <c r="B7" s="174"/>
      <c r="C7" s="175">
        <v>2014</v>
      </c>
      <c r="D7" s="175" t="s">
        <v>123</v>
      </c>
      <c r="E7" s="113" t="s">
        <v>125</v>
      </c>
      <c r="F7" s="175">
        <v>25</v>
      </c>
      <c r="G7" s="115">
        <v>9990</v>
      </c>
      <c r="H7" s="96">
        <f t="shared" si="0"/>
        <v>1198.8000000000002</v>
      </c>
      <c r="I7" s="96">
        <f t="shared" si="1"/>
        <v>399.6</v>
      </c>
      <c r="J7" s="96">
        <f t="shared" si="2"/>
        <v>1598.4</v>
      </c>
      <c r="K7" s="176" t="str">
        <f t="shared" si="3"/>
        <v/>
      </c>
      <c r="L7" s="115"/>
      <c r="M7" s="115"/>
      <c r="N7" s="96">
        <f t="shared" si="4"/>
        <v>8391.6</v>
      </c>
    </row>
    <row r="8" spans="1:14" x14ac:dyDescent="0.35">
      <c r="A8" s="113"/>
      <c r="B8" s="174"/>
      <c r="C8" s="175">
        <v>2015</v>
      </c>
      <c r="D8" s="175" t="s">
        <v>126</v>
      </c>
      <c r="E8" s="113" t="s">
        <v>127</v>
      </c>
      <c r="F8" s="175">
        <v>50</v>
      </c>
      <c r="G8" s="115">
        <v>19139</v>
      </c>
      <c r="H8" s="96">
        <f t="shared" si="0"/>
        <v>765.56</v>
      </c>
      <c r="I8" s="96">
        <f t="shared" si="1"/>
        <v>382.78</v>
      </c>
      <c r="J8" s="96">
        <f t="shared" si="2"/>
        <v>1148.3399999999999</v>
      </c>
      <c r="K8" s="176" t="str">
        <f t="shared" si="3"/>
        <v/>
      </c>
      <c r="L8" s="115"/>
      <c r="M8" s="115"/>
      <c r="N8" s="96">
        <f t="shared" si="4"/>
        <v>17990.66</v>
      </c>
    </row>
    <row r="9" spans="1:14" x14ac:dyDescent="0.35">
      <c r="A9" s="113"/>
      <c r="B9" s="174"/>
      <c r="C9" s="175">
        <v>2015</v>
      </c>
      <c r="D9" s="175" t="s">
        <v>126</v>
      </c>
      <c r="E9" s="113" t="s">
        <v>128</v>
      </c>
      <c r="F9" s="175">
        <v>30</v>
      </c>
      <c r="G9" s="115">
        <v>65650</v>
      </c>
      <c r="H9" s="96">
        <f t="shared" si="0"/>
        <v>4376.666666666667</v>
      </c>
      <c r="I9" s="96">
        <f t="shared" si="1"/>
        <v>2188.3333333333335</v>
      </c>
      <c r="J9" s="96">
        <f t="shared" si="2"/>
        <v>6565</v>
      </c>
      <c r="K9" s="176" t="str">
        <f t="shared" si="3"/>
        <v/>
      </c>
      <c r="L9" s="115"/>
      <c r="M9" s="115"/>
      <c r="N9" s="96">
        <f t="shared" si="4"/>
        <v>59085</v>
      </c>
    </row>
    <row r="10" spans="1:14" x14ac:dyDescent="0.35">
      <c r="A10" s="113"/>
      <c r="B10" s="174"/>
      <c r="C10" s="175">
        <v>2015</v>
      </c>
      <c r="D10" s="175" t="s">
        <v>126</v>
      </c>
      <c r="E10" s="113" t="s">
        <v>129</v>
      </c>
      <c r="F10" s="175">
        <v>5</v>
      </c>
      <c r="G10" s="115">
        <v>15085</v>
      </c>
      <c r="H10" s="96">
        <f t="shared" si="0"/>
        <v>6034</v>
      </c>
      <c r="I10" s="96">
        <f t="shared" si="1"/>
        <v>3017</v>
      </c>
      <c r="J10" s="96">
        <f t="shared" ref="J10:J19" si="5">IF(F10&gt;0,H10+I10+L10,"")</f>
        <v>9051</v>
      </c>
      <c r="K10" s="176" t="str">
        <f t="shared" si="3"/>
        <v/>
      </c>
      <c r="L10" s="115"/>
      <c r="M10" s="115"/>
      <c r="N10" s="96">
        <f t="shared" si="4"/>
        <v>6034</v>
      </c>
    </row>
    <row r="11" spans="1:14" x14ac:dyDescent="0.35">
      <c r="A11" s="113"/>
      <c r="B11" s="174"/>
      <c r="C11" s="175">
        <v>2014</v>
      </c>
      <c r="D11" s="175" t="s">
        <v>126</v>
      </c>
      <c r="E11" s="113" t="s">
        <v>130</v>
      </c>
      <c r="F11" s="175">
        <v>10</v>
      </c>
      <c r="G11" s="115">
        <v>33988</v>
      </c>
      <c r="H11" s="96">
        <f t="shared" si="0"/>
        <v>10196.400000000001</v>
      </c>
      <c r="I11" s="96">
        <f t="shared" si="1"/>
        <v>3398.8</v>
      </c>
      <c r="J11" s="96">
        <f t="shared" si="5"/>
        <v>13595.2</v>
      </c>
      <c r="K11" s="176" t="str">
        <f t="shared" si="3"/>
        <v/>
      </c>
      <c r="L11" s="115"/>
      <c r="M11" s="115"/>
      <c r="N11" s="96">
        <f t="shared" si="4"/>
        <v>20392.8</v>
      </c>
    </row>
    <row r="12" spans="1:14" x14ac:dyDescent="0.35">
      <c r="A12" s="113"/>
      <c r="B12" s="174"/>
      <c r="C12" s="175">
        <v>2014</v>
      </c>
      <c r="D12" s="175" t="s">
        <v>126</v>
      </c>
      <c r="E12" s="113" t="s">
        <v>131</v>
      </c>
      <c r="F12" s="175">
        <v>30</v>
      </c>
      <c r="G12" s="115">
        <v>184300</v>
      </c>
      <c r="H12" s="96">
        <f t="shared" si="0"/>
        <v>18430</v>
      </c>
      <c r="I12" s="96">
        <f t="shared" si="1"/>
        <v>6143.333333333333</v>
      </c>
      <c r="J12" s="96">
        <f t="shared" si="5"/>
        <v>24573.333333333332</v>
      </c>
      <c r="K12" s="176" t="str">
        <f t="shared" si="3"/>
        <v/>
      </c>
      <c r="L12" s="115"/>
      <c r="M12" s="115"/>
      <c r="N12" s="96">
        <f t="shared" si="4"/>
        <v>159726.66666666666</v>
      </c>
    </row>
    <row r="13" spans="1:14" x14ac:dyDescent="0.35">
      <c r="A13" s="113"/>
      <c r="B13" s="174"/>
      <c r="C13" s="175">
        <v>2014</v>
      </c>
      <c r="D13" s="175" t="s">
        <v>126</v>
      </c>
      <c r="E13" s="113" t="s">
        <v>132</v>
      </c>
      <c r="F13" s="175">
        <v>5</v>
      </c>
      <c r="G13" s="115">
        <v>43040</v>
      </c>
      <c r="H13" s="96">
        <f t="shared" si="0"/>
        <v>25824</v>
      </c>
      <c r="I13" s="96">
        <f t="shared" si="1"/>
        <v>8608</v>
      </c>
      <c r="J13" s="96">
        <f t="shared" si="5"/>
        <v>34432</v>
      </c>
      <c r="K13" s="176" t="str">
        <f t="shared" si="3"/>
        <v/>
      </c>
      <c r="L13" s="115"/>
      <c r="M13" s="115"/>
      <c r="N13" s="96">
        <f t="shared" si="4"/>
        <v>8608</v>
      </c>
    </row>
    <row r="14" spans="1:14" x14ac:dyDescent="0.35">
      <c r="A14" s="113"/>
      <c r="B14" s="174"/>
      <c r="C14" s="175">
        <v>2013</v>
      </c>
      <c r="D14" s="175" t="s">
        <v>126</v>
      </c>
      <c r="E14" s="113" t="s">
        <v>133</v>
      </c>
      <c r="F14" s="175">
        <v>5</v>
      </c>
      <c r="G14" s="115">
        <v>274307</v>
      </c>
      <c r="H14" s="96">
        <f t="shared" si="0"/>
        <v>219445.6</v>
      </c>
      <c r="I14" s="96">
        <f t="shared" si="1"/>
        <v>54861.4</v>
      </c>
      <c r="J14" s="96">
        <f t="shared" si="5"/>
        <v>274307</v>
      </c>
      <c r="K14" s="176" t="str">
        <f t="shared" si="3"/>
        <v/>
      </c>
      <c r="L14" s="115"/>
      <c r="M14" s="115"/>
      <c r="N14" s="96">
        <f t="shared" si="4"/>
        <v>0</v>
      </c>
    </row>
    <row r="15" spans="1:14" x14ac:dyDescent="0.35">
      <c r="A15" s="113"/>
      <c r="B15" s="174"/>
      <c r="C15" s="175">
        <v>2013</v>
      </c>
      <c r="D15" s="175" t="s">
        <v>126</v>
      </c>
      <c r="E15" s="113" t="s">
        <v>129</v>
      </c>
      <c r="F15" s="175">
        <v>5</v>
      </c>
      <c r="G15" s="115">
        <v>90437</v>
      </c>
      <c r="H15" s="96">
        <f t="shared" si="0"/>
        <v>72349.600000000006</v>
      </c>
      <c r="I15" s="96">
        <f t="shared" si="1"/>
        <v>18087.400000000001</v>
      </c>
      <c r="J15" s="96">
        <f t="shared" si="5"/>
        <v>90437</v>
      </c>
      <c r="K15" s="176" t="str">
        <f t="shared" si="3"/>
        <v/>
      </c>
      <c r="L15" s="115"/>
      <c r="M15" s="115"/>
      <c r="N15" s="96">
        <f t="shared" si="4"/>
        <v>0</v>
      </c>
    </row>
    <row r="16" spans="1:14" x14ac:dyDescent="0.35">
      <c r="A16" s="113"/>
      <c r="B16" s="174"/>
      <c r="C16" s="175">
        <v>2012</v>
      </c>
      <c r="D16" s="175" t="s">
        <v>126</v>
      </c>
      <c r="E16" s="113" t="s">
        <v>134</v>
      </c>
      <c r="F16" s="175">
        <v>25</v>
      </c>
      <c r="G16" s="115">
        <v>126848</v>
      </c>
      <c r="H16" s="96">
        <f t="shared" si="0"/>
        <v>25369.599999999999</v>
      </c>
      <c r="I16" s="96">
        <f t="shared" si="1"/>
        <v>5073.92</v>
      </c>
      <c r="J16" s="96">
        <f t="shared" si="5"/>
        <v>30443.519999999997</v>
      </c>
      <c r="K16" s="176" t="str">
        <f t="shared" si="3"/>
        <v/>
      </c>
      <c r="L16" s="115"/>
      <c r="M16" s="115"/>
      <c r="N16" s="96">
        <f t="shared" si="4"/>
        <v>96404.48000000001</v>
      </c>
    </row>
    <row r="17" spans="1:14" x14ac:dyDescent="0.35">
      <c r="A17" s="113"/>
      <c r="B17" s="174"/>
      <c r="C17" s="175">
        <v>2012</v>
      </c>
      <c r="D17" s="175" t="s">
        <v>126</v>
      </c>
      <c r="E17" s="113" t="s">
        <v>135</v>
      </c>
      <c r="F17" s="175">
        <v>50</v>
      </c>
      <c r="G17" s="115">
        <v>66489</v>
      </c>
      <c r="H17" s="96">
        <f>IF(F17&gt;0,IF((G17/F17)*(RegnÅr-C17)+L17+M17&gt;G17,G17-L17-M17,(G17/F17)*(RegnÅr-C17)),"")</f>
        <v>6648.9</v>
      </c>
      <c r="I17" s="96">
        <f t="shared" si="1"/>
        <v>1329.78</v>
      </c>
      <c r="J17" s="96">
        <f t="shared" si="5"/>
        <v>7978.6799999999994</v>
      </c>
      <c r="K17" s="176" t="str">
        <f t="shared" si="3"/>
        <v/>
      </c>
      <c r="L17" s="115"/>
      <c r="M17" s="115"/>
      <c r="N17" s="96">
        <f t="shared" si="4"/>
        <v>58510.32</v>
      </c>
    </row>
    <row r="18" spans="1:14" x14ac:dyDescent="0.35">
      <c r="A18" s="113"/>
      <c r="B18" s="174"/>
      <c r="C18" s="175">
        <v>2015</v>
      </c>
      <c r="D18" s="175" t="s">
        <v>136</v>
      </c>
      <c r="E18" s="113" t="s">
        <v>137</v>
      </c>
      <c r="F18" s="175">
        <v>75</v>
      </c>
      <c r="G18" s="115">
        <v>123687</v>
      </c>
      <c r="H18" s="96">
        <f t="shared" si="0"/>
        <v>3298.32</v>
      </c>
      <c r="I18" s="96">
        <f t="shared" si="1"/>
        <v>1649.16</v>
      </c>
      <c r="J18" s="96">
        <f t="shared" si="5"/>
        <v>4947.4800000000005</v>
      </c>
      <c r="K18" s="176" t="str">
        <f t="shared" si="3"/>
        <v/>
      </c>
      <c r="L18" s="115"/>
      <c r="M18" s="115"/>
      <c r="N18" s="96">
        <f t="shared" si="4"/>
        <v>118739.52</v>
      </c>
    </row>
    <row r="19" spans="1:14" x14ac:dyDescent="0.35">
      <c r="A19" s="113"/>
      <c r="B19" s="174"/>
      <c r="C19" s="175">
        <v>2015</v>
      </c>
      <c r="D19" s="175" t="s">
        <v>138</v>
      </c>
      <c r="E19" s="113" t="s">
        <v>139</v>
      </c>
      <c r="F19" s="175">
        <v>75</v>
      </c>
      <c r="G19" s="115">
        <v>19856</v>
      </c>
      <c r="H19" s="96">
        <f t="shared" si="0"/>
        <v>529.49333333333334</v>
      </c>
      <c r="I19" s="96">
        <f t="shared" si="1"/>
        <v>264.74666666666667</v>
      </c>
      <c r="J19" s="96">
        <f t="shared" si="5"/>
        <v>794.24</v>
      </c>
      <c r="K19" s="176" t="str">
        <f t="shared" si="3"/>
        <v/>
      </c>
      <c r="L19" s="115"/>
      <c r="M19" s="115"/>
      <c r="N19" s="96">
        <f t="shared" si="4"/>
        <v>19061.759999999998</v>
      </c>
    </row>
    <row r="20" spans="1:14" x14ac:dyDescent="0.35">
      <c r="A20" s="113"/>
      <c r="B20" s="174"/>
      <c r="C20" s="175">
        <v>2015</v>
      </c>
      <c r="D20" s="175" t="s">
        <v>138</v>
      </c>
      <c r="E20" s="113" t="s">
        <v>140</v>
      </c>
      <c r="F20" s="175">
        <v>12</v>
      </c>
      <c r="G20" s="115">
        <v>125526</v>
      </c>
      <c r="H20" s="96">
        <f t="shared" si="0"/>
        <v>20921</v>
      </c>
      <c r="I20" s="96">
        <f t="shared" si="1"/>
        <v>10460.5</v>
      </c>
      <c r="J20" s="96">
        <f t="shared" si="2"/>
        <v>31381.5</v>
      </c>
      <c r="K20" s="176" t="str">
        <f t="shared" si="3"/>
        <v/>
      </c>
      <c r="L20" s="115"/>
      <c r="M20" s="115"/>
      <c r="N20" s="96">
        <f t="shared" si="4"/>
        <v>94144.5</v>
      </c>
    </row>
    <row r="21" spans="1:14" x14ac:dyDescent="0.35">
      <c r="A21" s="113"/>
      <c r="B21" s="174"/>
      <c r="C21" s="175">
        <v>2014</v>
      </c>
      <c r="D21" s="175" t="s">
        <v>138</v>
      </c>
      <c r="E21" s="113" t="s">
        <v>141</v>
      </c>
      <c r="F21" s="175">
        <v>10</v>
      </c>
      <c r="G21" s="115">
        <v>54856</v>
      </c>
      <c r="H21" s="96">
        <f t="shared" si="0"/>
        <v>16456.800000000003</v>
      </c>
      <c r="I21" s="96">
        <f t="shared" si="1"/>
        <v>5485.6</v>
      </c>
      <c r="J21" s="96">
        <f t="shared" si="2"/>
        <v>21942.400000000001</v>
      </c>
      <c r="K21" s="176" t="str">
        <f t="shared" si="3"/>
        <v/>
      </c>
      <c r="L21" s="115"/>
      <c r="M21" s="115"/>
      <c r="N21" s="96">
        <f t="shared" si="4"/>
        <v>32913.599999999999</v>
      </c>
    </row>
    <row r="22" spans="1:14" x14ac:dyDescent="0.35">
      <c r="A22" s="113"/>
      <c r="B22" s="174"/>
      <c r="C22" s="175">
        <v>2014</v>
      </c>
      <c r="D22" s="175" t="s">
        <v>138</v>
      </c>
      <c r="E22" s="113" t="s">
        <v>142</v>
      </c>
      <c r="F22" s="175">
        <v>75</v>
      </c>
      <c r="G22" s="115">
        <v>14947</v>
      </c>
      <c r="H22" s="96">
        <f t="shared" si="0"/>
        <v>597.88</v>
      </c>
      <c r="I22" s="96">
        <f t="shared" si="1"/>
        <v>199.29333333333332</v>
      </c>
      <c r="J22" s="96">
        <f t="shared" si="2"/>
        <v>797.17333333333329</v>
      </c>
      <c r="K22" s="176" t="str">
        <f t="shared" si="3"/>
        <v/>
      </c>
      <c r="L22" s="115"/>
      <c r="M22" s="115"/>
      <c r="N22" s="96">
        <f t="shared" si="4"/>
        <v>14149.826666666666</v>
      </c>
    </row>
    <row r="23" spans="1:14" x14ac:dyDescent="0.35">
      <c r="A23" s="113"/>
      <c r="B23" s="174"/>
      <c r="C23" s="175">
        <v>2014</v>
      </c>
      <c r="D23" s="175" t="s">
        <v>138</v>
      </c>
      <c r="E23" s="113" t="s">
        <v>139</v>
      </c>
      <c r="F23" s="175">
        <v>75</v>
      </c>
      <c r="G23" s="115">
        <v>138809</v>
      </c>
      <c r="H23" s="96">
        <f t="shared" si="0"/>
        <v>5552.36</v>
      </c>
      <c r="I23" s="96">
        <f t="shared" si="1"/>
        <v>1850.7866666666666</v>
      </c>
      <c r="J23" s="96">
        <f t="shared" si="2"/>
        <v>7403.1466666666665</v>
      </c>
      <c r="K23" s="176" t="str">
        <f t="shared" si="3"/>
        <v/>
      </c>
      <c r="L23" s="115"/>
      <c r="M23" s="115"/>
      <c r="N23" s="96">
        <f t="shared" si="4"/>
        <v>131405.85333333333</v>
      </c>
    </row>
    <row r="24" spans="1:14" x14ac:dyDescent="0.35">
      <c r="A24" s="113"/>
      <c r="B24" s="174"/>
      <c r="C24" s="175">
        <v>2013</v>
      </c>
      <c r="D24" s="175" t="s">
        <v>138</v>
      </c>
      <c r="E24" s="113" t="s">
        <v>142</v>
      </c>
      <c r="F24" s="175">
        <v>75</v>
      </c>
      <c r="G24" s="115">
        <v>373965</v>
      </c>
      <c r="H24" s="96">
        <f t="shared" si="0"/>
        <v>19944.8</v>
      </c>
      <c r="I24" s="96">
        <f t="shared" si="1"/>
        <v>4986.2</v>
      </c>
      <c r="J24" s="96">
        <f t="shared" si="2"/>
        <v>24931</v>
      </c>
      <c r="K24" s="176" t="str">
        <f t="shared" si="3"/>
        <v/>
      </c>
      <c r="L24" s="115"/>
      <c r="M24" s="115"/>
      <c r="N24" s="96">
        <f t="shared" si="4"/>
        <v>349034</v>
      </c>
    </row>
    <row r="25" spans="1:14" x14ac:dyDescent="0.35">
      <c r="A25" s="113"/>
      <c r="B25" s="174"/>
      <c r="C25" s="175">
        <v>2013</v>
      </c>
      <c r="D25" s="175" t="s">
        <v>138</v>
      </c>
      <c r="E25" s="113" t="s">
        <v>143</v>
      </c>
      <c r="F25" s="175">
        <v>75</v>
      </c>
      <c r="G25" s="115">
        <v>119643</v>
      </c>
      <c r="H25" s="96">
        <f t="shared" si="0"/>
        <v>6380.96</v>
      </c>
      <c r="I25" s="96">
        <f t="shared" si="1"/>
        <v>1595.24</v>
      </c>
      <c r="J25" s="96">
        <f t="shared" si="2"/>
        <v>7976.2</v>
      </c>
      <c r="K25" s="176" t="str">
        <f t="shared" si="3"/>
        <v/>
      </c>
      <c r="L25" s="115"/>
      <c r="M25" s="115"/>
      <c r="N25" s="96">
        <f t="shared" si="4"/>
        <v>111666.8</v>
      </c>
    </row>
    <row r="26" spans="1:14" x14ac:dyDescent="0.35">
      <c r="A26" s="113"/>
      <c r="B26" s="174"/>
      <c r="C26" s="175">
        <v>2012</v>
      </c>
      <c r="D26" s="175" t="s">
        <v>138</v>
      </c>
      <c r="E26" s="113" t="s">
        <v>140</v>
      </c>
      <c r="F26" s="175">
        <v>8</v>
      </c>
      <c r="G26" s="115">
        <v>116652</v>
      </c>
      <c r="H26" s="96">
        <f t="shared" si="0"/>
        <v>72907.5</v>
      </c>
      <c r="I26" s="96">
        <f t="shared" si="1"/>
        <v>14581.5</v>
      </c>
      <c r="J26" s="96">
        <f t="shared" si="2"/>
        <v>87489</v>
      </c>
      <c r="K26" s="176" t="str">
        <f t="shared" si="3"/>
        <v/>
      </c>
      <c r="L26" s="115"/>
      <c r="M26" s="115"/>
      <c r="N26" s="96">
        <f t="shared" si="4"/>
        <v>29163</v>
      </c>
    </row>
    <row r="27" spans="1:14" x14ac:dyDescent="0.35">
      <c r="A27" s="113"/>
      <c r="B27" s="174"/>
      <c r="C27" s="175">
        <v>2012</v>
      </c>
      <c r="D27" s="175" t="s">
        <v>138</v>
      </c>
      <c r="E27" s="113" t="s">
        <v>142</v>
      </c>
      <c r="F27" s="175">
        <v>75</v>
      </c>
      <c r="G27" s="115">
        <v>103234</v>
      </c>
      <c r="H27" s="96">
        <f t="shared" si="0"/>
        <v>6882.2666666666664</v>
      </c>
      <c r="I27" s="96">
        <f t="shared" si="1"/>
        <v>1376.4533333333334</v>
      </c>
      <c r="J27" s="96">
        <f t="shared" si="2"/>
        <v>8258.7199999999993</v>
      </c>
      <c r="K27" s="176" t="str">
        <f t="shared" si="3"/>
        <v/>
      </c>
      <c r="L27" s="115"/>
      <c r="M27" s="115"/>
      <c r="N27" s="96">
        <f t="shared" si="4"/>
        <v>94975.28</v>
      </c>
    </row>
    <row r="28" spans="1:14" x14ac:dyDescent="0.35">
      <c r="A28" s="113"/>
      <c r="B28" s="174"/>
      <c r="C28" s="175">
        <v>1950</v>
      </c>
      <c r="D28" s="175" t="s">
        <v>123</v>
      </c>
      <c r="E28" s="113" t="s">
        <v>144</v>
      </c>
      <c r="F28" s="175">
        <v>75</v>
      </c>
      <c r="G28" s="115">
        <v>1500000</v>
      </c>
      <c r="H28" s="96">
        <f t="shared" si="0"/>
        <v>1300000</v>
      </c>
      <c r="I28" s="96">
        <f t="shared" si="1"/>
        <v>0</v>
      </c>
      <c r="J28" s="96">
        <f t="shared" si="2"/>
        <v>1300000</v>
      </c>
      <c r="K28" s="176">
        <f t="shared" si="3"/>
        <v>2014</v>
      </c>
      <c r="L28" s="115"/>
      <c r="M28" s="115">
        <v>200000</v>
      </c>
      <c r="N28" s="96">
        <f t="shared" si="4"/>
        <v>0</v>
      </c>
    </row>
    <row r="29" spans="1:14" x14ac:dyDescent="0.35">
      <c r="A29" s="169"/>
      <c r="B29" s="170"/>
      <c r="C29" s="171"/>
      <c r="D29" s="171"/>
      <c r="E29" s="178" t="s">
        <v>145</v>
      </c>
      <c r="F29" s="171"/>
      <c r="G29" s="172"/>
      <c r="H29" s="172" t="str">
        <f t="shared" si="0"/>
        <v/>
      </c>
      <c r="I29" s="172" t="str">
        <f t="shared" si="1"/>
        <v/>
      </c>
      <c r="J29" s="172" t="str">
        <f t="shared" si="2"/>
        <v/>
      </c>
      <c r="K29" s="169" t="str">
        <f t="shared" si="3"/>
        <v/>
      </c>
      <c r="L29" s="172"/>
      <c r="M29" s="172"/>
      <c r="N29" s="172" t="str">
        <f t="shared" si="4"/>
        <v/>
      </c>
    </row>
    <row r="30" spans="1:14" ht="10" customHeight="1" x14ac:dyDescent="0.35"/>
    <row r="31" spans="1:14" ht="29" x14ac:dyDescent="0.35">
      <c r="D31" s="52" t="s">
        <v>111</v>
      </c>
      <c r="E31" s="89" t="s">
        <v>146</v>
      </c>
      <c r="F31" s="90"/>
      <c r="G31" s="53" t="s">
        <v>114</v>
      </c>
      <c r="H31" s="53" t="s">
        <v>147</v>
      </c>
      <c r="I31" s="54" t="s">
        <v>148</v>
      </c>
      <c r="J31" s="54" t="s">
        <v>149</v>
      </c>
      <c r="K31" s="54"/>
      <c r="L31" s="54" t="s">
        <v>119</v>
      </c>
      <c r="M31" s="54" t="s">
        <v>150</v>
      </c>
      <c r="N31" s="52" t="s">
        <v>121</v>
      </c>
    </row>
    <row r="32" spans="1:14" x14ac:dyDescent="0.35">
      <c r="D32" s="102" t="s">
        <v>123</v>
      </c>
      <c r="E32" s="92" t="s">
        <v>151</v>
      </c>
      <c r="F32" s="91"/>
      <c r="G32" s="93">
        <f t="shared" ref="G32:J35" si="6">SUMIF($D$4:$D$29,$D32,G$4:G$29)</f>
        <v>1846935.53</v>
      </c>
      <c r="H32" s="93">
        <f t="shared" si="6"/>
        <v>1310184.0141333332</v>
      </c>
      <c r="I32" s="93">
        <f t="shared" si="6"/>
        <v>4892.2070666666677</v>
      </c>
      <c r="J32" s="93">
        <f t="shared" si="6"/>
        <v>1315076.2212</v>
      </c>
      <c r="K32" s="93"/>
      <c r="L32" s="93">
        <f t="shared" ref="L32:N35" si="7">SUMIF($D$4:$D$29,$D32,L$4:L$29)</f>
        <v>0</v>
      </c>
      <c r="M32" s="93">
        <f t="shared" si="7"/>
        <v>200000</v>
      </c>
      <c r="N32" s="93">
        <f t="shared" si="7"/>
        <v>331859.3088</v>
      </c>
    </row>
    <row r="33" spans="4:14" x14ac:dyDescent="0.35">
      <c r="D33" s="102" t="s">
        <v>126</v>
      </c>
      <c r="E33" s="92" t="s">
        <v>152</v>
      </c>
      <c r="F33" s="91"/>
      <c r="G33" s="93">
        <f t="shared" si="6"/>
        <v>919283</v>
      </c>
      <c r="H33" s="93">
        <f t="shared" si="6"/>
        <v>389440.32666666666</v>
      </c>
      <c r="I33" s="93">
        <f t="shared" si="6"/>
        <v>103090.74666666666</v>
      </c>
      <c r="J33" s="93">
        <f t="shared" si="6"/>
        <v>492531.07333333336</v>
      </c>
      <c r="K33" s="93"/>
      <c r="L33" s="93">
        <f t="shared" si="7"/>
        <v>0</v>
      </c>
      <c r="M33" s="93">
        <f t="shared" si="7"/>
        <v>0</v>
      </c>
      <c r="N33" s="93">
        <f t="shared" si="7"/>
        <v>426751.9266666667</v>
      </c>
    </row>
    <row r="34" spans="4:14" x14ac:dyDescent="0.35">
      <c r="D34" s="102" t="s">
        <v>136</v>
      </c>
      <c r="E34" s="92" t="s">
        <v>79</v>
      </c>
      <c r="F34" s="91"/>
      <c r="G34" s="93">
        <f t="shared" si="6"/>
        <v>123687</v>
      </c>
      <c r="H34" s="93">
        <f t="shared" si="6"/>
        <v>3298.32</v>
      </c>
      <c r="I34" s="93">
        <f t="shared" si="6"/>
        <v>1649.16</v>
      </c>
      <c r="J34" s="93">
        <f t="shared" si="6"/>
        <v>4947.4800000000005</v>
      </c>
      <c r="K34" s="93"/>
      <c r="L34" s="93">
        <f t="shared" si="7"/>
        <v>0</v>
      </c>
      <c r="M34" s="93">
        <f t="shared" si="7"/>
        <v>0</v>
      </c>
      <c r="N34" s="93">
        <f t="shared" si="7"/>
        <v>118739.52</v>
      </c>
    </row>
    <row r="35" spans="4:14" x14ac:dyDescent="0.35">
      <c r="D35" s="102" t="s">
        <v>138</v>
      </c>
      <c r="E35" s="92" t="s">
        <v>153</v>
      </c>
      <c r="F35" s="91"/>
      <c r="G35" s="93">
        <f t="shared" si="6"/>
        <v>1067488</v>
      </c>
      <c r="H35" s="93">
        <f t="shared" si="6"/>
        <v>150173.06</v>
      </c>
      <c r="I35" s="93">
        <f t="shared" si="6"/>
        <v>40800.32</v>
      </c>
      <c r="J35" s="93">
        <f t="shared" si="6"/>
        <v>190973.37999999998</v>
      </c>
      <c r="K35" s="93"/>
      <c r="L35" s="93">
        <f t="shared" si="7"/>
        <v>0</v>
      </c>
      <c r="M35" s="93">
        <f t="shared" si="7"/>
        <v>0</v>
      </c>
      <c r="N35" s="93">
        <f t="shared" si="7"/>
        <v>876514.62000000011</v>
      </c>
    </row>
    <row r="36" spans="4:14" x14ac:dyDescent="0.35">
      <c r="D36" s="11"/>
      <c r="E36" s="89" t="s">
        <v>71</v>
      </c>
      <c r="F36" s="52"/>
      <c r="G36" s="94">
        <f t="shared" ref="G36:N36" si="8">SUM(G32:G35)</f>
        <v>3957393.5300000003</v>
      </c>
      <c r="H36" s="94">
        <f t="shared" si="8"/>
        <v>1853095.7208</v>
      </c>
      <c r="I36" s="94">
        <f t="shared" si="8"/>
        <v>150432.43373333334</v>
      </c>
      <c r="J36" s="94">
        <f t="shared" si="8"/>
        <v>2003528.1545333331</v>
      </c>
      <c r="K36" s="93"/>
      <c r="L36" s="94">
        <f t="shared" si="8"/>
        <v>0</v>
      </c>
      <c r="M36" s="94">
        <f t="shared" si="8"/>
        <v>200000</v>
      </c>
      <c r="N36" s="94">
        <f t="shared" si="8"/>
        <v>1753865.3754666669</v>
      </c>
    </row>
    <row r="37" spans="4:14" ht="10" customHeight="1" x14ac:dyDescent="0.35">
      <c r="D37" s="11"/>
      <c r="E37" s="16"/>
      <c r="F37" s="11"/>
      <c r="G37" s="43"/>
      <c r="H37" s="43"/>
      <c r="I37" s="43"/>
      <c r="J37" s="16"/>
      <c r="K37" s="16"/>
      <c r="L37" s="43"/>
      <c r="M37" s="43"/>
      <c r="N37" s="45"/>
    </row>
    <row r="38" spans="4:14" ht="29" x14ac:dyDescent="0.35">
      <c r="D38" s="11"/>
      <c r="E38" s="95" t="s">
        <v>154</v>
      </c>
      <c r="F38" s="52" t="s">
        <v>155</v>
      </c>
      <c r="G38" s="53" t="s">
        <v>114</v>
      </c>
      <c r="H38" s="53" t="s">
        <v>147</v>
      </c>
      <c r="I38" s="54" t="s">
        <v>148</v>
      </c>
      <c r="J38" s="54" t="s">
        <v>149</v>
      </c>
      <c r="K38" s="54"/>
      <c r="L38" s="54" t="s">
        <v>119</v>
      </c>
      <c r="M38" s="54" t="s">
        <v>150</v>
      </c>
      <c r="N38" s="52" t="s">
        <v>121</v>
      </c>
    </row>
    <row r="39" spans="4:14" x14ac:dyDescent="0.35">
      <c r="D39" s="11"/>
      <c r="E39" s="92" t="s">
        <v>151</v>
      </c>
      <c r="F39" s="91">
        <v>25</v>
      </c>
      <c r="G39" s="173">
        <v>1532000</v>
      </c>
      <c r="H39" s="173">
        <v>612800</v>
      </c>
      <c r="I39" s="93">
        <f>G39/F39</f>
        <v>61280</v>
      </c>
      <c r="J39" s="96">
        <f>H39+I39</f>
        <v>674080</v>
      </c>
      <c r="K39" s="96"/>
      <c r="L39" s="103"/>
      <c r="M39" s="103"/>
      <c r="N39" s="96">
        <f>G39-J39</f>
        <v>857920</v>
      </c>
    </row>
    <row r="40" spans="4:14" x14ac:dyDescent="0.35">
      <c r="D40" s="11"/>
      <c r="E40" s="92" t="s">
        <v>152</v>
      </c>
      <c r="F40" s="91">
        <v>25</v>
      </c>
      <c r="G40" s="173">
        <v>2150000</v>
      </c>
      <c r="H40" s="173">
        <v>860000</v>
      </c>
      <c r="I40" s="93">
        <f>G40/F40</f>
        <v>86000</v>
      </c>
      <c r="J40" s="96">
        <f>H40+I40</f>
        <v>946000</v>
      </c>
      <c r="K40" s="96"/>
      <c r="L40" s="103"/>
      <c r="M40" s="103"/>
      <c r="N40" s="96">
        <f>G40-J40</f>
        <v>1204000</v>
      </c>
    </row>
    <row r="41" spans="4:14" x14ac:dyDescent="0.35">
      <c r="D41" s="11"/>
      <c r="E41" s="92" t="s">
        <v>79</v>
      </c>
      <c r="F41" s="91">
        <v>75</v>
      </c>
      <c r="G41" s="173">
        <v>750000</v>
      </c>
      <c r="H41" s="173">
        <v>100000</v>
      </c>
      <c r="I41" s="93">
        <f>G41/F41</f>
        <v>10000</v>
      </c>
      <c r="J41" s="96">
        <f>H41+I41</f>
        <v>110000</v>
      </c>
      <c r="K41" s="96"/>
      <c r="L41" s="103"/>
      <c r="M41" s="103"/>
      <c r="N41" s="96">
        <f>G41-J41</f>
        <v>640000</v>
      </c>
    </row>
    <row r="42" spans="4:14" x14ac:dyDescent="0.35">
      <c r="D42" s="11"/>
      <c r="E42" s="92" t="s">
        <v>153</v>
      </c>
      <c r="F42" s="91">
        <v>50</v>
      </c>
      <c r="G42" s="173">
        <v>5402150</v>
      </c>
      <c r="H42" s="173">
        <v>4669444</v>
      </c>
      <c r="I42" s="93">
        <f>G42/F42</f>
        <v>108043</v>
      </c>
      <c r="J42" s="96">
        <f>H42+I42</f>
        <v>4777487</v>
      </c>
      <c r="K42" s="96"/>
      <c r="L42" s="103"/>
      <c r="M42" s="103"/>
      <c r="N42" s="96">
        <f>G42-J42</f>
        <v>624663</v>
      </c>
    </row>
    <row r="43" spans="4:14" x14ac:dyDescent="0.35">
      <c r="D43" s="11"/>
      <c r="E43" s="77"/>
      <c r="F43" s="91"/>
      <c r="G43" s="93">
        <f t="shared" ref="G43:N43" si="9">SUM(G39:G42)</f>
        <v>9834150</v>
      </c>
      <c r="H43" s="93">
        <f t="shared" si="9"/>
        <v>6242244</v>
      </c>
      <c r="I43" s="93">
        <f t="shared" si="9"/>
        <v>265323</v>
      </c>
      <c r="J43" s="93">
        <f t="shared" si="9"/>
        <v>6507567</v>
      </c>
      <c r="K43" s="93"/>
      <c r="L43" s="103"/>
      <c r="M43" s="103"/>
      <c r="N43" s="96">
        <f t="shared" si="9"/>
        <v>3326583</v>
      </c>
    </row>
    <row r="44" spans="4:14" ht="10" customHeight="1" x14ac:dyDescent="0.35">
      <c r="D44" s="11"/>
      <c r="E44" s="98"/>
      <c r="F44" s="99"/>
      <c r="G44" s="100"/>
      <c r="H44" s="100"/>
      <c r="I44" s="100"/>
      <c r="J44" s="101"/>
      <c r="K44" s="101"/>
      <c r="L44" s="100"/>
      <c r="M44" s="100"/>
      <c r="N44" s="101"/>
    </row>
    <row r="45" spans="4:14" x14ac:dyDescent="0.35">
      <c r="D45" s="11"/>
      <c r="E45" s="92" t="s">
        <v>156</v>
      </c>
      <c r="F45" s="97"/>
      <c r="G45" s="93">
        <f>SUM(G32:G34)+SUM(G39:G41)</f>
        <v>7321905.5300000003</v>
      </c>
      <c r="H45" s="93">
        <f>SUM(H32:H34)+SUM(H39:H41)</f>
        <v>3275722.6607999997</v>
      </c>
      <c r="I45" s="93">
        <f>SUM(I32:I34)+SUM(I39:I41)</f>
        <v>266912.1137333333</v>
      </c>
      <c r="J45" s="93">
        <f>SUM(J32:J34)+SUM(J39:J41)</f>
        <v>3542634.7745333333</v>
      </c>
      <c r="K45" s="93"/>
      <c r="L45" s="93">
        <f>SUM(L32:L34)+SUM(L39:L41)</f>
        <v>0</v>
      </c>
      <c r="M45" s="93">
        <f>SUM(M32:M34)+SUM(M39:M41)</f>
        <v>200000</v>
      </c>
      <c r="N45" s="93">
        <f>SUM(N32:N34)+SUM(N39:N41)</f>
        <v>3579270.755466667</v>
      </c>
    </row>
    <row r="46" spans="4:14" x14ac:dyDescent="0.35">
      <c r="D46" s="11"/>
      <c r="E46" s="92" t="s">
        <v>153</v>
      </c>
      <c r="F46" s="97"/>
      <c r="G46" s="93">
        <f t="shared" ref="G46:N46" si="10">+G35+G42</f>
        <v>6469638</v>
      </c>
      <c r="H46" s="93">
        <f t="shared" si="10"/>
        <v>4819617.0599999996</v>
      </c>
      <c r="I46" s="93">
        <f t="shared" si="10"/>
        <v>148843.32</v>
      </c>
      <c r="J46" s="93">
        <f t="shared" si="10"/>
        <v>4968460.38</v>
      </c>
      <c r="K46" s="93"/>
      <c r="L46" s="93">
        <f t="shared" si="10"/>
        <v>0</v>
      </c>
      <c r="M46" s="93">
        <f t="shared" si="10"/>
        <v>0</v>
      </c>
      <c r="N46" s="93">
        <f t="shared" si="10"/>
        <v>1501177.62</v>
      </c>
    </row>
    <row r="47" spans="4:14" x14ac:dyDescent="0.35">
      <c r="D47" s="11"/>
      <c r="E47" s="89" t="s">
        <v>71</v>
      </c>
      <c r="F47" s="97"/>
      <c r="G47" s="94">
        <f t="shared" ref="G47:N47" si="11">SUM(G45:G46)</f>
        <v>13791543.530000001</v>
      </c>
      <c r="H47" s="94">
        <f t="shared" si="11"/>
        <v>8095339.7207999993</v>
      </c>
      <c r="I47" s="94">
        <f t="shared" si="11"/>
        <v>415755.43373333331</v>
      </c>
      <c r="J47" s="94">
        <f t="shared" si="11"/>
        <v>8511095.1545333341</v>
      </c>
      <c r="K47" s="94"/>
      <c r="L47" s="94">
        <f t="shared" si="11"/>
        <v>0</v>
      </c>
      <c r="M47" s="94">
        <f t="shared" si="11"/>
        <v>200000</v>
      </c>
      <c r="N47" s="94">
        <f t="shared" si="11"/>
        <v>5080448.3754666671</v>
      </c>
    </row>
  </sheetData>
  <sheetProtection sheet="1" insertRows="0" deleteRows="0"/>
  <mergeCells count="1">
    <mergeCell ref="C1:N1"/>
  </mergeCells>
  <conditionalFormatting sqref="G36 N36">
    <cfRule type="expression" dxfId="16" priority="142">
      <formula>IF(SUM(G$4:G$29)&lt;&gt;G$36,1,0)</formula>
    </cfRule>
  </conditionalFormatting>
  <conditionalFormatting sqref="H36:J36 L36:M36">
    <cfRule type="expression" dxfId="15" priority="144">
      <formula>IF(SUM(H$4:H$29)&lt;&gt;H$36,1,0)</formula>
    </cfRule>
  </conditionalFormatting>
  <pageMargins left="0.39370078740157483" right="0.39370078740157483" top="0.39370078740157483" bottom="0.59055118110236227" header="0.19685039370078741" footer="0.19685039370078741"/>
  <pageSetup paperSize="9" scale="68" fitToHeight="999" orientation="landscape" r:id="rId1"/>
  <headerFooter>
    <oddFooter>Side &amp;P af &amp;N</oddFooter>
  </headerFooter>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
  <sheetViews>
    <sheetView zoomScaleNormal="100" workbookViewId="0">
      <pane ySplit="3" topLeftCell="A4" activePane="bottomLeft" state="frozen"/>
      <selection pane="bottomLeft" activeCell="A4" sqref="A4:D4"/>
    </sheetView>
  </sheetViews>
  <sheetFormatPr defaultColWidth="8.81640625" defaultRowHeight="14.5" x14ac:dyDescent="0.35"/>
  <cols>
    <col min="1" max="1" width="45.7265625" customWidth="1"/>
    <col min="2" max="4" width="14.7265625" customWidth="1"/>
    <col min="5" max="8" width="13" customWidth="1"/>
  </cols>
  <sheetData>
    <row r="1" spans="1:11" ht="21" x14ac:dyDescent="0.5">
      <c r="A1" s="236" t="str">
        <f>"Beregning af forsynings- &amp; stikledningsbidrag for"</f>
        <v>Beregning af forsynings- &amp; stikledningsbidrag for</v>
      </c>
      <c r="B1" s="236"/>
      <c r="C1" s="236"/>
      <c r="D1" s="236"/>
    </row>
    <row r="2" spans="1:11" ht="21" x14ac:dyDescent="0.5">
      <c r="A2" s="236" t="str">
        <f>Vnavn</f>
        <v>Vandby Vandværk A.m.b.a.</v>
      </c>
      <c r="B2" s="236"/>
      <c r="C2" s="236"/>
      <c r="D2" s="236"/>
    </row>
    <row r="3" spans="1:11" x14ac:dyDescent="0.35">
      <c r="A3" s="56"/>
      <c r="B3" s="56"/>
      <c r="C3" s="56"/>
      <c r="D3" s="56"/>
      <c r="E3" s="117"/>
      <c r="F3" s="117"/>
      <c r="G3" s="117"/>
      <c r="H3" s="117"/>
      <c r="I3" s="117"/>
      <c r="J3" s="117"/>
      <c r="K3" s="117"/>
    </row>
    <row r="4" spans="1:11" x14ac:dyDescent="0.35">
      <c r="A4" s="235" t="s">
        <v>157</v>
      </c>
      <c r="B4" s="235"/>
      <c r="C4" s="235"/>
      <c r="D4" s="235"/>
      <c r="E4" s="117"/>
      <c r="F4" s="117"/>
      <c r="G4" s="117"/>
      <c r="H4" s="117"/>
      <c r="I4" s="117"/>
      <c r="J4" s="117"/>
      <c r="K4" s="117"/>
    </row>
    <row r="5" spans="1:11" x14ac:dyDescent="0.35">
      <c r="A5" s="112" t="s">
        <v>158</v>
      </c>
      <c r="B5" s="56"/>
      <c r="C5" s="56"/>
      <c r="D5" s="56"/>
      <c r="E5" s="117"/>
      <c r="F5" s="117"/>
      <c r="G5" s="117"/>
      <c r="H5" s="117"/>
      <c r="I5" s="117"/>
      <c r="J5" s="117"/>
      <c r="K5" s="117"/>
    </row>
    <row r="6" spans="1:11" x14ac:dyDescent="0.35">
      <c r="A6" s="118" t="s">
        <v>159</v>
      </c>
      <c r="B6" s="113">
        <v>200</v>
      </c>
      <c r="C6" s="46" t="s">
        <v>160</v>
      </c>
      <c r="E6" s="117"/>
      <c r="F6" s="117"/>
      <c r="G6" s="117"/>
      <c r="H6" s="117"/>
      <c r="I6" s="117"/>
      <c r="J6" s="117"/>
      <c r="K6" s="117"/>
    </row>
    <row r="7" spans="1:11" x14ac:dyDescent="0.35">
      <c r="A7" s="118" t="s">
        <v>161</v>
      </c>
      <c r="B7" s="113">
        <v>20</v>
      </c>
      <c r="C7" s="46" t="s">
        <v>162</v>
      </c>
      <c r="E7" s="117"/>
      <c r="F7" s="117"/>
      <c r="G7" s="117"/>
      <c r="H7" s="117"/>
      <c r="I7" s="117"/>
      <c r="J7" s="117"/>
      <c r="K7" s="117"/>
    </row>
    <row r="8" spans="1:11" x14ac:dyDescent="0.35">
      <c r="A8" s="1"/>
      <c r="E8" s="117"/>
      <c r="F8" s="117"/>
      <c r="G8" s="117"/>
      <c r="H8" s="117"/>
      <c r="I8" s="117"/>
      <c r="J8" s="117"/>
      <c r="K8" s="117"/>
    </row>
    <row r="9" spans="1:11" x14ac:dyDescent="0.35">
      <c r="A9" s="104" t="s">
        <v>163</v>
      </c>
      <c r="B9" s="105" t="s">
        <v>164</v>
      </c>
      <c r="C9" s="106" t="s">
        <v>71</v>
      </c>
      <c r="D9" s="56"/>
      <c r="E9" s="117"/>
      <c r="F9" s="117"/>
      <c r="G9" s="117"/>
      <c r="H9" s="117"/>
      <c r="I9" s="117"/>
      <c r="J9" s="117"/>
      <c r="K9" s="117"/>
    </row>
    <row r="10" spans="1:11" x14ac:dyDescent="0.35">
      <c r="A10" s="110" t="s">
        <v>165</v>
      </c>
      <c r="B10" s="114"/>
      <c r="C10" s="115">
        <v>30000</v>
      </c>
      <c r="D10" s="56"/>
      <c r="E10" s="117"/>
      <c r="F10" s="117"/>
      <c r="G10" s="117"/>
      <c r="H10" s="117"/>
      <c r="I10" s="117"/>
      <c r="J10" s="117"/>
      <c r="K10" s="117"/>
    </row>
    <row r="11" spans="1:11" x14ac:dyDescent="0.35">
      <c r="A11" s="110" t="s">
        <v>166</v>
      </c>
      <c r="B11" s="115">
        <v>230</v>
      </c>
      <c r="C11" s="114">
        <f>+B11*B6</f>
        <v>46000</v>
      </c>
      <c r="D11" s="56"/>
      <c r="E11" s="117"/>
      <c r="F11" s="117"/>
      <c r="G11" s="117"/>
      <c r="H11" s="117"/>
      <c r="I11" s="117"/>
      <c r="J11" s="117"/>
      <c r="K11" s="117"/>
    </row>
    <row r="12" spans="1:11" x14ac:dyDescent="0.35">
      <c r="A12" s="107" t="s">
        <v>167</v>
      </c>
      <c r="B12" s="115">
        <v>35</v>
      </c>
      <c r="C12" s="114">
        <f>+B12*B6</f>
        <v>7000</v>
      </c>
      <c r="D12" s="56"/>
      <c r="E12" s="117"/>
      <c r="F12" s="117"/>
      <c r="G12" s="117"/>
      <c r="H12" s="117"/>
      <c r="I12" s="117"/>
      <c r="J12" s="117"/>
      <c r="K12" s="117"/>
    </row>
    <row r="13" spans="1:11" x14ac:dyDescent="0.35">
      <c r="A13" s="110" t="s">
        <v>168</v>
      </c>
      <c r="B13" s="114"/>
      <c r="C13" s="115">
        <v>10000</v>
      </c>
      <c r="D13" s="56"/>
      <c r="E13" s="117"/>
      <c r="F13" s="117"/>
      <c r="G13" s="117"/>
      <c r="H13" s="117"/>
      <c r="I13" s="117"/>
      <c r="J13" s="117"/>
      <c r="K13" s="117"/>
    </row>
    <row r="14" spans="1:11" x14ac:dyDescent="0.35">
      <c r="A14" s="107" t="s">
        <v>169</v>
      </c>
      <c r="B14" s="114"/>
      <c r="C14" s="115">
        <v>15000</v>
      </c>
      <c r="D14" s="56"/>
      <c r="E14" s="117"/>
      <c r="F14" s="117"/>
      <c r="G14" s="117"/>
      <c r="H14" s="117"/>
      <c r="I14" s="117"/>
      <c r="J14" s="117"/>
      <c r="K14" s="117"/>
    </row>
    <row r="15" spans="1:11" x14ac:dyDescent="0.35">
      <c r="A15" s="104" t="s">
        <v>71</v>
      </c>
      <c r="B15" s="46"/>
      <c r="C15" s="116">
        <f>SUM(C10:C14)</f>
        <v>108000</v>
      </c>
      <c r="D15" s="56"/>
      <c r="E15" s="117"/>
      <c r="F15" s="117"/>
      <c r="G15" s="117"/>
      <c r="H15" s="117"/>
      <c r="I15" s="117"/>
      <c r="J15" s="117"/>
      <c r="K15" s="117"/>
    </row>
    <row r="16" spans="1:11" x14ac:dyDescent="0.35">
      <c r="A16" s="107" t="s">
        <v>170</v>
      </c>
      <c r="B16" s="118"/>
      <c r="C16" s="119">
        <f>C15/B6</f>
        <v>540</v>
      </c>
      <c r="D16" s="56"/>
      <c r="E16" s="117"/>
      <c r="F16" s="117"/>
      <c r="G16" s="117"/>
      <c r="H16" s="117"/>
      <c r="I16" s="117"/>
      <c r="J16" s="117"/>
      <c r="K16" s="117"/>
    </row>
    <row r="17" spans="1:11" x14ac:dyDescent="0.35">
      <c r="A17" s="104" t="s">
        <v>171</v>
      </c>
      <c r="B17" s="46"/>
      <c r="C17" s="116">
        <f>C15/B7</f>
        <v>5400</v>
      </c>
      <c r="D17" s="56"/>
      <c r="E17" s="117"/>
      <c r="F17" s="117"/>
      <c r="G17" s="117"/>
      <c r="H17" s="117"/>
      <c r="I17" s="117"/>
      <c r="J17" s="117"/>
      <c r="K17" s="117"/>
    </row>
    <row r="18" spans="1:11" x14ac:dyDescent="0.35">
      <c r="A18" s="56"/>
      <c r="B18" s="56"/>
      <c r="C18" s="56"/>
      <c r="D18" s="56"/>
      <c r="E18" s="117"/>
      <c r="F18" s="117"/>
      <c r="G18" s="117"/>
      <c r="H18" s="117"/>
      <c r="I18" s="117"/>
      <c r="J18" s="117"/>
      <c r="K18" s="117"/>
    </row>
    <row r="19" spans="1:11" x14ac:dyDescent="0.35">
      <c r="A19" s="235" t="s">
        <v>172</v>
      </c>
      <c r="B19" s="235"/>
      <c r="C19" s="235"/>
      <c r="D19" s="235"/>
      <c r="E19" s="117"/>
      <c r="F19" s="117"/>
      <c r="G19" s="117"/>
      <c r="H19" s="117"/>
      <c r="I19" s="117"/>
      <c r="J19" s="117"/>
      <c r="K19" s="117"/>
    </row>
    <row r="20" spans="1:11" x14ac:dyDescent="0.35">
      <c r="A20" s="112" t="s">
        <v>158</v>
      </c>
      <c r="B20" s="56"/>
      <c r="C20" s="56"/>
      <c r="D20" s="56"/>
      <c r="E20" s="117"/>
      <c r="F20" s="117"/>
      <c r="G20" s="117"/>
      <c r="H20" s="117"/>
      <c r="I20" s="117"/>
      <c r="J20" s="117"/>
      <c r="K20" s="117"/>
    </row>
    <row r="21" spans="1:11" x14ac:dyDescent="0.35">
      <c r="A21" s="118" t="s">
        <v>159</v>
      </c>
      <c r="B21" s="113">
        <v>900</v>
      </c>
      <c r="C21" s="46" t="s">
        <v>160</v>
      </c>
    </row>
    <row r="22" spans="1:11" x14ac:dyDescent="0.35">
      <c r="A22" s="118" t="s">
        <v>161</v>
      </c>
      <c r="B22" s="113">
        <v>8</v>
      </c>
      <c r="C22" s="46" t="s">
        <v>162</v>
      </c>
    </row>
    <row r="23" spans="1:11" x14ac:dyDescent="0.35">
      <c r="A23" s="1"/>
    </row>
    <row r="24" spans="1:11" x14ac:dyDescent="0.35">
      <c r="A24" s="104" t="s">
        <v>173</v>
      </c>
      <c r="B24" s="105" t="s">
        <v>164</v>
      </c>
      <c r="C24" s="106" t="s">
        <v>71</v>
      </c>
    </row>
    <row r="25" spans="1:11" x14ac:dyDescent="0.35">
      <c r="A25" s="110" t="s">
        <v>165</v>
      </c>
      <c r="B25" s="114"/>
      <c r="C25" s="115">
        <v>20000</v>
      </c>
    </row>
    <row r="26" spans="1:11" x14ac:dyDescent="0.35">
      <c r="A26" s="110" t="s">
        <v>166</v>
      </c>
      <c r="B26" s="115">
        <v>120</v>
      </c>
      <c r="C26" s="114">
        <f>+B26*B21</f>
        <v>108000</v>
      </c>
    </row>
    <row r="27" spans="1:11" x14ac:dyDescent="0.35">
      <c r="A27" s="107" t="s">
        <v>167</v>
      </c>
      <c r="B27" s="115">
        <v>35</v>
      </c>
      <c r="C27" s="114">
        <f>+B27*B21</f>
        <v>31500</v>
      </c>
    </row>
    <row r="28" spans="1:11" x14ac:dyDescent="0.35">
      <c r="A28" s="110" t="s">
        <v>168</v>
      </c>
      <c r="B28" s="114"/>
      <c r="C28" s="115">
        <v>8000</v>
      </c>
    </row>
    <row r="29" spans="1:11" x14ac:dyDescent="0.35">
      <c r="A29" s="107" t="s">
        <v>169</v>
      </c>
      <c r="B29" s="114"/>
      <c r="C29" s="115">
        <v>8000</v>
      </c>
    </row>
    <row r="30" spans="1:11" x14ac:dyDescent="0.35">
      <c r="A30" s="104" t="s">
        <v>71</v>
      </c>
      <c r="B30" s="46"/>
      <c r="C30" s="116">
        <f>SUM(C25:C29)</f>
        <v>175500</v>
      </c>
    </row>
    <row r="31" spans="1:11" x14ac:dyDescent="0.35">
      <c r="A31" s="107" t="s">
        <v>170</v>
      </c>
      <c r="B31" s="118"/>
      <c r="C31" s="119">
        <f>C30/B21</f>
        <v>195</v>
      </c>
    </row>
    <row r="32" spans="1:11" x14ac:dyDescent="0.35">
      <c r="A32" s="104" t="s">
        <v>171</v>
      </c>
      <c r="B32" s="46"/>
      <c r="C32" s="116">
        <f>C30/B22</f>
        <v>21937.5</v>
      </c>
    </row>
    <row r="33" spans="1:4" x14ac:dyDescent="0.35">
      <c r="A33" s="4"/>
      <c r="C33" s="27"/>
    </row>
    <row r="34" spans="1:4" x14ac:dyDescent="0.35">
      <c r="A34" s="235" t="s">
        <v>174</v>
      </c>
      <c r="B34" s="235"/>
      <c r="C34" s="235"/>
      <c r="D34" s="235"/>
    </row>
    <row r="35" spans="1:4" x14ac:dyDescent="0.35">
      <c r="A35" s="104" t="s">
        <v>175</v>
      </c>
      <c r="B35" s="105" t="s">
        <v>176</v>
      </c>
      <c r="C35" s="106" t="s">
        <v>177</v>
      </c>
      <c r="D35" s="106" t="s">
        <v>71</v>
      </c>
    </row>
    <row r="36" spans="1:4" x14ac:dyDescent="0.35">
      <c r="A36" s="107" t="s">
        <v>165</v>
      </c>
      <c r="B36" s="108">
        <v>2000</v>
      </c>
      <c r="C36" s="108">
        <v>4000</v>
      </c>
      <c r="D36" s="109">
        <f>SUM(B36:C36)</f>
        <v>6000</v>
      </c>
    </row>
    <row r="37" spans="1:4" x14ac:dyDescent="0.35">
      <c r="A37" s="107" t="s">
        <v>178</v>
      </c>
      <c r="B37" s="108">
        <v>0</v>
      </c>
      <c r="C37" s="108">
        <v>1100</v>
      </c>
      <c r="D37" s="109">
        <f t="shared" ref="D37:D40" si="0">SUM(B37:C37)</f>
        <v>1100</v>
      </c>
    </row>
    <row r="38" spans="1:4" x14ac:dyDescent="0.35">
      <c r="A38" s="110" t="s">
        <v>179</v>
      </c>
      <c r="B38" s="108">
        <v>1200</v>
      </c>
      <c r="C38" s="108">
        <v>1700</v>
      </c>
      <c r="D38" s="109">
        <f t="shared" si="0"/>
        <v>2900</v>
      </c>
    </row>
    <row r="39" spans="1:4" x14ac:dyDescent="0.35">
      <c r="A39" s="107" t="s">
        <v>169</v>
      </c>
      <c r="B39" s="108">
        <v>1000</v>
      </c>
      <c r="C39" s="108">
        <v>1000</v>
      </c>
      <c r="D39" s="109">
        <f t="shared" si="0"/>
        <v>2000</v>
      </c>
    </row>
    <row r="40" spans="1:4" x14ac:dyDescent="0.35">
      <c r="A40" s="107" t="s">
        <v>180</v>
      </c>
      <c r="B40" s="108"/>
      <c r="C40" s="108"/>
      <c r="D40" s="109">
        <f t="shared" si="0"/>
        <v>0</v>
      </c>
    </row>
    <row r="41" spans="1:4" x14ac:dyDescent="0.35">
      <c r="A41" s="104" t="s">
        <v>71</v>
      </c>
      <c r="B41" s="111">
        <f>SUM(B36:B40)</f>
        <v>4200</v>
      </c>
      <c r="C41" s="111">
        <f>SUM(C36:C40)</f>
        <v>7800</v>
      </c>
      <c r="D41" s="111">
        <f>SUM(D36:D40)</f>
        <v>12000</v>
      </c>
    </row>
    <row r="42" spans="1:4" x14ac:dyDescent="0.35">
      <c r="A42" s="232" t="s">
        <v>181</v>
      </c>
      <c r="B42" s="233"/>
      <c r="C42" s="234"/>
      <c r="D42" s="111">
        <f>D41/2</f>
        <v>6000</v>
      </c>
    </row>
  </sheetData>
  <sheetProtection sheet="1" objects="1" scenarios="1"/>
  <mergeCells count="6">
    <mergeCell ref="A42:C42"/>
    <mergeCell ref="A19:D19"/>
    <mergeCell ref="A1:D1"/>
    <mergeCell ref="A34:D34"/>
    <mergeCell ref="A4:D4"/>
    <mergeCell ref="A2:D2"/>
  </mergeCells>
  <pageMargins left="0.59055118110236227" right="0.59055118110236227" top="0.39370078740157483" bottom="0.59055118110236227" header="0.19685039370078741" footer="0.19685039370078741"/>
  <pageSetup paperSize="9" orientation="portrait" r:id="rId1"/>
  <headerFooter>
    <oddFooter>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72138-F384-457C-93A4-CEE4DBC01360}">
  <sheetPr>
    <pageSetUpPr fitToPage="1"/>
  </sheetPr>
  <dimension ref="A1:L36"/>
  <sheetViews>
    <sheetView zoomScaleNormal="100" workbookViewId="0">
      <pane ySplit="3" topLeftCell="A4" activePane="bottomLeft" state="frozen"/>
      <selection pane="bottomLeft" activeCell="A4" sqref="A4"/>
    </sheetView>
  </sheetViews>
  <sheetFormatPr defaultColWidth="9.1796875" defaultRowHeight="14.5" x14ac:dyDescent="0.35"/>
  <cols>
    <col min="1" max="1" width="45.7265625" style="16" customWidth="1"/>
    <col min="2" max="5" width="14.7265625" style="16" customWidth="1"/>
    <col min="6" max="9" width="13" style="16" customWidth="1"/>
    <col min="10" max="16384" width="9.1796875" style="16"/>
  </cols>
  <sheetData>
    <row r="1" spans="1:12" ht="21" x14ac:dyDescent="0.5">
      <c r="A1" s="228" t="str">
        <f>"Beregning af målerbidrag for"</f>
        <v>Beregning af målerbidrag for</v>
      </c>
      <c r="B1" s="228"/>
      <c r="C1" s="228"/>
      <c r="D1" s="228"/>
      <c r="E1" s="182"/>
    </row>
    <row r="2" spans="1:12" ht="21" x14ac:dyDescent="0.5">
      <c r="A2" s="228" t="str">
        <f>Vnavn</f>
        <v>Vandby Vandværk A.m.b.a.</v>
      </c>
      <c r="B2" s="228"/>
      <c r="C2" s="228"/>
      <c r="D2" s="228"/>
      <c r="E2" s="182"/>
    </row>
    <row r="3" spans="1:12" x14ac:dyDescent="0.35">
      <c r="A3" s="56"/>
      <c r="B3" s="56"/>
      <c r="C3" s="56"/>
      <c r="D3" s="56"/>
      <c r="E3" s="56"/>
      <c r="F3" s="117"/>
      <c r="G3" s="117"/>
      <c r="H3" s="117"/>
      <c r="I3" s="117"/>
      <c r="J3" s="117"/>
      <c r="K3" s="117"/>
      <c r="L3" s="117"/>
    </row>
    <row r="4" spans="1:12" ht="15" thickBot="1" x14ac:dyDescent="0.4">
      <c r="A4" s="66" t="s">
        <v>158</v>
      </c>
      <c r="B4" s="56"/>
      <c r="C4" s="56"/>
      <c r="D4" s="56"/>
      <c r="E4" s="56"/>
      <c r="F4" s="117"/>
      <c r="G4" s="117"/>
      <c r="H4" s="117"/>
      <c r="I4" s="117"/>
      <c r="J4" s="117"/>
      <c r="K4" s="117"/>
      <c r="L4" s="117"/>
    </row>
    <row r="5" spans="1:12" x14ac:dyDescent="0.35">
      <c r="A5" s="183" t="s">
        <v>182</v>
      </c>
      <c r="B5" s="180">
        <v>10</v>
      </c>
      <c r="C5" s="184" t="s">
        <v>183</v>
      </c>
      <c r="F5" s="117"/>
      <c r="G5" s="117"/>
      <c r="H5" s="117"/>
      <c r="I5" s="117"/>
      <c r="J5" s="117"/>
      <c r="K5" s="117"/>
      <c r="L5" s="117"/>
    </row>
    <row r="6" spans="1:12" ht="15" thickBot="1" x14ac:dyDescent="0.4">
      <c r="A6" s="185" t="s">
        <v>184</v>
      </c>
      <c r="B6" s="212">
        <f>AntalMålere</f>
        <v>135</v>
      </c>
      <c r="C6" s="186" t="s">
        <v>185</v>
      </c>
      <c r="F6" s="117"/>
      <c r="G6" s="117"/>
      <c r="H6" s="117"/>
      <c r="I6" s="117"/>
      <c r="J6" s="117"/>
      <c r="K6" s="117"/>
      <c r="L6" s="117"/>
    </row>
    <row r="7" spans="1:12" ht="15" thickBot="1" x14ac:dyDescent="0.4">
      <c r="A7" s="69"/>
      <c r="F7" s="117"/>
      <c r="G7" s="117"/>
      <c r="H7" s="117"/>
      <c r="I7" s="117"/>
      <c r="J7" s="117"/>
      <c r="K7" s="117"/>
      <c r="L7" s="117"/>
    </row>
    <row r="8" spans="1:12" ht="15" thickBot="1" x14ac:dyDescent="0.4">
      <c r="A8" s="187" t="s">
        <v>186</v>
      </c>
      <c r="B8" s="188" t="s">
        <v>187</v>
      </c>
      <c r="C8" s="188" t="s">
        <v>164</v>
      </c>
      <c r="D8" s="189" t="s">
        <v>71</v>
      </c>
      <c r="E8" s="56"/>
      <c r="G8" s="117"/>
      <c r="H8" s="117"/>
      <c r="I8" s="117"/>
      <c r="J8" s="117"/>
      <c r="K8" s="117"/>
      <c r="L8" s="117"/>
    </row>
    <row r="9" spans="1:12" x14ac:dyDescent="0.35">
      <c r="A9" s="207" t="s">
        <v>188</v>
      </c>
      <c r="B9" s="180">
        <f>B6</f>
        <v>135</v>
      </c>
      <c r="C9" s="180">
        <v>720</v>
      </c>
      <c r="D9" s="190">
        <f t="shared" ref="D9:D17" si="0">IF(C9&lt;&gt;0,C9*B9,"")</f>
        <v>97200</v>
      </c>
      <c r="E9" s="56"/>
      <c r="G9" s="117"/>
      <c r="H9" s="117"/>
      <c r="I9" s="117"/>
      <c r="J9" s="117"/>
      <c r="K9" s="117"/>
      <c r="L9" s="117"/>
    </row>
    <row r="10" spans="1:12" x14ac:dyDescent="0.35">
      <c r="A10" s="208" t="s">
        <v>189</v>
      </c>
      <c r="B10" s="115">
        <f>B9-10</f>
        <v>125</v>
      </c>
      <c r="C10" s="115">
        <v>300</v>
      </c>
      <c r="D10" s="191">
        <f t="shared" si="0"/>
        <v>37500</v>
      </c>
      <c r="E10" s="56"/>
      <c r="G10" s="117"/>
      <c r="H10" s="117"/>
      <c r="I10" s="117"/>
      <c r="J10" s="117"/>
      <c r="K10" s="117"/>
      <c r="L10" s="117"/>
    </row>
    <row r="11" spans="1:12" x14ac:dyDescent="0.35">
      <c r="A11" s="209" t="s">
        <v>190</v>
      </c>
      <c r="B11" s="115">
        <v>1</v>
      </c>
      <c r="C11" s="115">
        <f>10*1200</f>
        <v>12000</v>
      </c>
      <c r="D11" s="191">
        <f t="shared" si="0"/>
        <v>12000</v>
      </c>
      <c r="E11" s="56"/>
      <c r="G11" s="117"/>
      <c r="H11" s="117"/>
      <c r="I11" s="117"/>
      <c r="J11" s="117"/>
      <c r="K11" s="117"/>
      <c r="L11" s="117"/>
    </row>
    <row r="12" spans="1:12" x14ac:dyDescent="0.35">
      <c r="A12" s="208" t="s">
        <v>191</v>
      </c>
      <c r="B12" s="115">
        <v>1</v>
      </c>
      <c r="C12" s="115">
        <v>0</v>
      </c>
      <c r="D12" s="191" t="str">
        <f t="shared" si="0"/>
        <v/>
      </c>
      <c r="E12" s="56"/>
      <c r="G12" s="117"/>
      <c r="H12" s="117"/>
      <c r="I12" s="117"/>
      <c r="J12" s="117"/>
      <c r="K12" s="117"/>
      <c r="L12" s="117"/>
    </row>
    <row r="13" spans="1:12" x14ac:dyDescent="0.35">
      <c r="A13" s="208" t="s">
        <v>192</v>
      </c>
      <c r="B13" s="115">
        <v>10</v>
      </c>
      <c r="C13" s="115">
        <v>215</v>
      </c>
      <c r="D13" s="191">
        <f t="shared" si="0"/>
        <v>2150</v>
      </c>
      <c r="E13" s="56"/>
      <c r="G13" s="117"/>
      <c r="H13" s="117"/>
      <c r="I13" s="117"/>
      <c r="J13" s="117"/>
      <c r="K13" s="117"/>
      <c r="L13" s="117"/>
    </row>
    <row r="14" spans="1:12" x14ac:dyDescent="0.35">
      <c r="A14" s="208" t="s">
        <v>193</v>
      </c>
      <c r="B14" s="115">
        <v>1</v>
      </c>
      <c r="C14" s="115">
        <v>15000</v>
      </c>
      <c r="D14" s="191">
        <f t="shared" si="0"/>
        <v>15000</v>
      </c>
      <c r="E14" s="56"/>
      <c r="G14" s="117"/>
      <c r="H14" s="117"/>
      <c r="I14" s="117"/>
      <c r="J14" s="117"/>
      <c r="K14" s="117"/>
      <c r="L14" s="117"/>
    </row>
    <row r="15" spans="1:12" x14ac:dyDescent="0.35">
      <c r="A15" s="208" t="s">
        <v>194</v>
      </c>
      <c r="B15" s="115">
        <v>1</v>
      </c>
      <c r="C15" s="115">
        <v>4000</v>
      </c>
      <c r="D15" s="191">
        <f t="shared" si="0"/>
        <v>4000</v>
      </c>
      <c r="E15" s="56"/>
      <c r="G15" s="117"/>
      <c r="H15" s="117"/>
      <c r="I15" s="117"/>
      <c r="J15" s="117"/>
      <c r="K15" s="117"/>
      <c r="L15" s="117"/>
    </row>
    <row r="16" spans="1:12" x14ac:dyDescent="0.35">
      <c r="A16" s="208" t="s">
        <v>195</v>
      </c>
      <c r="B16" s="115">
        <v>1</v>
      </c>
      <c r="C16" s="115"/>
      <c r="D16" s="191" t="str">
        <f t="shared" si="0"/>
        <v/>
      </c>
      <c r="E16" s="56"/>
      <c r="G16" s="117"/>
      <c r="H16" s="117"/>
      <c r="I16" s="117"/>
      <c r="J16" s="117"/>
      <c r="K16" s="117"/>
      <c r="L16" s="117"/>
    </row>
    <row r="17" spans="1:12" ht="15" thickBot="1" x14ac:dyDescent="0.4">
      <c r="A17" s="210" t="s">
        <v>196</v>
      </c>
      <c r="B17" s="181">
        <v>1</v>
      </c>
      <c r="C17" s="181"/>
      <c r="D17" s="192" t="str">
        <f t="shared" si="0"/>
        <v/>
      </c>
      <c r="E17" s="56"/>
      <c r="G17" s="117"/>
      <c r="H17" s="117"/>
      <c r="I17" s="117"/>
      <c r="J17" s="117"/>
      <c r="K17" s="117"/>
      <c r="L17" s="117"/>
    </row>
    <row r="18" spans="1:12" x14ac:dyDescent="0.35">
      <c r="A18" s="193" t="s">
        <v>71</v>
      </c>
      <c r="B18" s="194"/>
      <c r="C18" s="194"/>
      <c r="D18" s="195">
        <f>SUM(D9:D17)</f>
        <v>167850</v>
      </c>
      <c r="E18" s="56"/>
      <c r="G18" s="117"/>
      <c r="H18" s="117"/>
      <c r="I18" s="117"/>
      <c r="J18" s="117"/>
      <c r="K18" s="117"/>
      <c r="L18" s="117"/>
    </row>
    <row r="19" spans="1:12" x14ac:dyDescent="0.35">
      <c r="A19" s="196" t="s">
        <v>197</v>
      </c>
      <c r="B19" s="197"/>
      <c r="C19" s="197"/>
      <c r="D19" s="198">
        <f>D18/B6</f>
        <v>1243.3333333333333</v>
      </c>
      <c r="E19" s="56"/>
      <c r="G19" s="117"/>
      <c r="H19" s="117"/>
      <c r="I19" s="117"/>
      <c r="J19" s="117"/>
      <c r="K19" s="117"/>
      <c r="L19" s="117"/>
    </row>
    <row r="20" spans="1:12" ht="15" thickBot="1" x14ac:dyDescent="0.4">
      <c r="A20" s="199" t="s">
        <v>198</v>
      </c>
      <c r="B20" s="200"/>
      <c r="C20" s="200"/>
      <c r="D20" s="201">
        <f>D19/B5</f>
        <v>124.33333333333333</v>
      </c>
      <c r="E20" s="56"/>
      <c r="G20" s="117"/>
      <c r="H20" s="117"/>
      <c r="I20" s="117"/>
      <c r="J20" s="117"/>
      <c r="K20" s="117"/>
      <c r="L20" s="117"/>
    </row>
    <row r="21" spans="1:12" ht="15" thickBot="1" x14ac:dyDescent="0.4">
      <c r="A21" s="202"/>
      <c r="B21" s="203"/>
      <c r="C21" s="203"/>
      <c r="D21" s="204"/>
      <c r="E21" s="56"/>
      <c r="G21" s="117"/>
      <c r="H21" s="117"/>
      <c r="I21" s="117"/>
      <c r="J21" s="117"/>
      <c r="K21" s="117"/>
      <c r="L21" s="117"/>
    </row>
    <row r="22" spans="1:12" ht="15" thickBot="1" x14ac:dyDescent="0.4">
      <c r="A22" s="187" t="s">
        <v>199</v>
      </c>
      <c r="B22" s="188" t="s">
        <v>187</v>
      </c>
      <c r="C22" s="188" t="s">
        <v>164</v>
      </c>
      <c r="D22" s="189" t="s">
        <v>71</v>
      </c>
      <c r="E22" s="56"/>
      <c r="G22" s="117"/>
      <c r="H22" s="117"/>
      <c r="I22" s="117"/>
      <c r="J22" s="117"/>
      <c r="K22" s="117"/>
      <c r="L22" s="117"/>
    </row>
    <row r="23" spans="1:12" x14ac:dyDescent="0.35">
      <c r="A23" s="207" t="s">
        <v>200</v>
      </c>
      <c r="B23" s="180">
        <v>1</v>
      </c>
      <c r="C23" s="180"/>
      <c r="D23" s="190" t="str">
        <f t="shared" ref="D23:D30" si="1">IF(C23&lt;&gt;0,C23*B23,"")</f>
        <v/>
      </c>
      <c r="E23" s="56"/>
      <c r="G23" s="117"/>
      <c r="H23" s="117"/>
      <c r="I23" s="117"/>
      <c r="J23" s="117"/>
      <c r="K23" s="117"/>
      <c r="L23" s="117"/>
    </row>
    <row r="24" spans="1:12" x14ac:dyDescent="0.35">
      <c r="A24" s="208" t="s">
        <v>201</v>
      </c>
      <c r="B24" s="115">
        <v>1</v>
      </c>
      <c r="C24" s="115"/>
      <c r="D24" s="191" t="str">
        <f t="shared" si="1"/>
        <v/>
      </c>
      <c r="E24" s="56"/>
      <c r="G24" s="117"/>
      <c r="H24" s="117"/>
      <c r="I24" s="117"/>
      <c r="J24" s="117"/>
      <c r="K24" s="117"/>
      <c r="L24" s="117"/>
    </row>
    <row r="25" spans="1:12" x14ac:dyDescent="0.35">
      <c r="A25" s="209" t="s">
        <v>202</v>
      </c>
      <c r="B25" s="115">
        <v>1</v>
      </c>
      <c r="C25" s="115"/>
      <c r="D25" s="191" t="str">
        <f t="shared" si="1"/>
        <v/>
      </c>
      <c r="E25" s="56"/>
      <c r="G25" s="117"/>
      <c r="H25" s="117"/>
      <c r="I25" s="117"/>
      <c r="J25" s="117"/>
      <c r="K25" s="117"/>
      <c r="L25" s="117"/>
    </row>
    <row r="26" spans="1:12" x14ac:dyDescent="0.35">
      <c r="A26" s="208" t="s">
        <v>203</v>
      </c>
      <c r="B26" s="115">
        <v>1</v>
      </c>
      <c r="C26" s="115">
        <f>+B6*10</f>
        <v>1350</v>
      </c>
      <c r="D26" s="191">
        <f t="shared" si="1"/>
        <v>1350</v>
      </c>
      <c r="E26" s="56"/>
      <c r="G26" s="117"/>
      <c r="H26" s="117"/>
      <c r="I26" s="117"/>
      <c r="J26" s="117"/>
      <c r="K26" s="117"/>
      <c r="L26" s="117"/>
    </row>
    <row r="27" spans="1:12" x14ac:dyDescent="0.35">
      <c r="A27" s="208" t="s">
        <v>204</v>
      </c>
      <c r="B27" s="115">
        <v>1</v>
      </c>
      <c r="C27" s="115"/>
      <c r="D27" s="191" t="str">
        <f t="shared" si="1"/>
        <v/>
      </c>
      <c r="E27" s="56"/>
      <c r="G27" s="117"/>
      <c r="H27" s="117"/>
      <c r="I27" s="117"/>
      <c r="J27" s="117"/>
      <c r="K27" s="117"/>
      <c r="L27" s="117"/>
    </row>
    <row r="28" spans="1:12" x14ac:dyDescent="0.35">
      <c r="A28" s="208" t="s">
        <v>205</v>
      </c>
      <c r="B28" s="115">
        <v>1</v>
      </c>
      <c r="C28" s="115">
        <f>(2*300)+(45*3.54)</f>
        <v>759.3</v>
      </c>
      <c r="D28" s="191">
        <f t="shared" si="1"/>
        <v>759.3</v>
      </c>
      <c r="E28" s="56"/>
      <c r="G28" s="117"/>
      <c r="H28" s="117"/>
      <c r="I28" s="117"/>
      <c r="J28" s="117"/>
      <c r="K28" s="117"/>
      <c r="L28" s="117"/>
    </row>
    <row r="29" spans="1:12" x14ac:dyDescent="0.35">
      <c r="A29" s="214" t="s">
        <v>206</v>
      </c>
      <c r="B29" s="215">
        <v>1</v>
      </c>
      <c r="C29" s="215"/>
      <c r="D29" s="216"/>
      <c r="E29" s="56"/>
      <c r="G29" s="117"/>
      <c r="H29" s="117"/>
      <c r="I29" s="117"/>
      <c r="J29" s="117"/>
      <c r="K29" s="117"/>
      <c r="L29" s="117"/>
    </row>
    <row r="30" spans="1:12" ht="15" thickBot="1" x14ac:dyDescent="0.4">
      <c r="A30" s="210" t="s">
        <v>207</v>
      </c>
      <c r="B30" s="181">
        <v>1</v>
      </c>
      <c r="C30" s="181"/>
      <c r="D30" s="192" t="str">
        <f t="shared" si="1"/>
        <v/>
      </c>
      <c r="E30" s="56"/>
      <c r="G30" s="117"/>
      <c r="H30" s="117"/>
      <c r="I30" s="117"/>
      <c r="J30" s="117"/>
      <c r="K30" s="117"/>
      <c r="L30" s="117"/>
    </row>
    <row r="31" spans="1:12" x14ac:dyDescent="0.35">
      <c r="A31" s="193" t="s">
        <v>71</v>
      </c>
      <c r="B31" s="194"/>
      <c r="C31" s="194"/>
      <c r="D31" s="195">
        <f>SUM(D23:D30)</f>
        <v>2109.3000000000002</v>
      </c>
      <c r="E31" s="56"/>
      <c r="G31" s="117"/>
      <c r="H31" s="117"/>
      <c r="I31" s="117"/>
      <c r="J31" s="117"/>
      <c r="K31" s="117"/>
      <c r="L31" s="117"/>
    </row>
    <row r="32" spans="1:12" ht="15" thickBot="1" x14ac:dyDescent="0.4">
      <c r="A32" s="199" t="s">
        <v>198</v>
      </c>
      <c r="B32" s="200"/>
      <c r="C32" s="200"/>
      <c r="D32" s="201">
        <f>D31/B6</f>
        <v>15.624444444444446</v>
      </c>
      <c r="E32" s="56"/>
      <c r="G32" s="117"/>
      <c r="H32" s="117"/>
      <c r="I32" s="117"/>
      <c r="J32" s="117"/>
      <c r="K32" s="117"/>
      <c r="L32" s="117"/>
    </row>
    <row r="33" spans="1:12" ht="15" thickBot="1" x14ac:dyDescent="0.4">
      <c r="A33" s="202"/>
      <c r="B33" s="203"/>
      <c r="C33" s="203"/>
      <c r="D33" s="204"/>
      <c r="E33" s="56"/>
      <c r="F33" s="117"/>
      <c r="G33" s="117"/>
      <c r="H33" s="117"/>
      <c r="I33" s="117"/>
      <c r="J33" s="117"/>
      <c r="K33" s="117"/>
      <c r="L33" s="117"/>
    </row>
    <row r="34" spans="1:12" x14ac:dyDescent="0.35">
      <c r="A34" s="205" t="s">
        <v>208</v>
      </c>
      <c r="B34" s="206"/>
      <c r="C34" s="206"/>
      <c r="D34" s="211"/>
      <c r="E34" s="56"/>
      <c r="F34" s="117"/>
      <c r="G34" s="117"/>
      <c r="H34" s="117"/>
      <c r="I34" s="117"/>
      <c r="J34" s="117"/>
      <c r="K34" s="117"/>
      <c r="L34" s="117"/>
    </row>
    <row r="35" spans="1:12" ht="15" thickBot="1" x14ac:dyDescent="0.4">
      <c r="A35" s="199" t="s">
        <v>209</v>
      </c>
      <c r="B35" s="200"/>
      <c r="C35" s="200"/>
      <c r="D35" s="201">
        <f>ROUND(D20+D32+D34,0)</f>
        <v>140</v>
      </c>
      <c r="E35" s="56"/>
      <c r="F35" s="117"/>
      <c r="G35" s="117"/>
      <c r="H35" s="117"/>
      <c r="I35" s="117"/>
      <c r="J35" s="117"/>
      <c r="K35" s="117"/>
      <c r="L35" s="117"/>
    </row>
    <row r="36" spans="1:12" x14ac:dyDescent="0.35">
      <c r="A36" s="202"/>
      <c r="B36" s="203"/>
      <c r="C36" s="203"/>
      <c r="D36" s="204"/>
      <c r="E36" s="56"/>
      <c r="F36" s="117"/>
      <c r="G36" s="117"/>
      <c r="H36" s="117"/>
      <c r="I36" s="117"/>
      <c r="J36" s="117"/>
      <c r="K36" s="117"/>
      <c r="L36" s="117"/>
    </row>
  </sheetData>
  <sheetProtection sheet="1" objects="1" scenarios="1"/>
  <mergeCells count="2">
    <mergeCell ref="A1:D1"/>
    <mergeCell ref="A2:D2"/>
  </mergeCells>
  <pageMargins left="0.59055118110236227" right="0.59055118110236227" top="0.39370078740157483" bottom="0.59055118110236227" header="0.19685039370078741" footer="0.19685039370078741"/>
  <pageSetup paperSize="9" orientation="portrait" r:id="rId1"/>
  <headerFooter>
    <oddFooter>Side &amp;P af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8"/>
  <sheetViews>
    <sheetView zoomScalePageLayoutView="115" workbookViewId="0">
      <selection activeCell="C36" sqref="C36"/>
    </sheetView>
  </sheetViews>
  <sheetFormatPr defaultColWidth="9.1796875" defaultRowHeight="14" x14ac:dyDescent="0.3"/>
  <cols>
    <col min="1" max="1" width="56.7265625" style="28" customWidth="1"/>
    <col min="2" max="2" width="5.7265625" style="28" customWidth="1"/>
    <col min="3" max="4" width="12.7265625" style="121" customWidth="1"/>
    <col min="5" max="16384" width="9.1796875" style="28"/>
  </cols>
  <sheetData>
    <row r="1" spans="1:4" ht="20" x14ac:dyDescent="0.4">
      <c r="A1" s="239" t="str">
        <f>"Takstblad for "&amp;Vnavn&amp;" - "&amp;TakstÅr</f>
        <v>Takstblad for Vandby Vandværk A.m.b.a. - 2019</v>
      </c>
      <c r="B1" s="239"/>
      <c r="C1" s="239"/>
      <c r="D1" s="239"/>
    </row>
    <row r="2" spans="1:4" ht="10" customHeight="1" x14ac:dyDescent="0.4">
      <c r="A2" s="220"/>
      <c r="B2" s="220"/>
      <c r="C2" s="220"/>
      <c r="D2" s="220"/>
    </row>
    <row r="3" spans="1:4" ht="30" customHeight="1" x14ac:dyDescent="0.3">
      <c r="A3" s="238" t="s">
        <v>210</v>
      </c>
      <c r="B3" s="238"/>
      <c r="C3" s="238"/>
      <c r="D3" s="238"/>
    </row>
    <row r="4" spans="1:4" ht="10" customHeight="1" x14ac:dyDescent="0.3">
      <c r="A4" s="120"/>
    </row>
    <row r="5" spans="1:4" ht="15.5" x14ac:dyDescent="0.35">
      <c r="A5" s="122" t="str">
        <f>Stamdata!B3</f>
        <v>Vandby Vandværk A.m.b.a.</v>
      </c>
      <c r="B5" s="123"/>
      <c r="C5" s="242" t="str">
        <f>Stamdata!B6</f>
        <v>www.xxxxx.dk</v>
      </c>
      <c r="D5" s="242"/>
    </row>
    <row r="6" spans="1:4" ht="15.5" x14ac:dyDescent="0.35">
      <c r="A6" s="125" t="str">
        <f>Stamdata!B4</f>
        <v>Vandby Strandvej 101</v>
      </c>
      <c r="B6" s="123"/>
      <c r="C6" s="241">
        <f>Stamdata!B7</f>
        <v>66554332</v>
      </c>
      <c r="D6" s="241"/>
    </row>
    <row r="7" spans="1:4" ht="15.5" x14ac:dyDescent="0.35">
      <c r="A7" s="126" t="str">
        <f>Stamdata!B5</f>
        <v>3333 Vandby Strand</v>
      </c>
      <c r="B7" s="123"/>
      <c r="C7" s="242" t="str">
        <f>Stamdata!B8</f>
        <v>mail@mail.dk</v>
      </c>
      <c r="D7" s="242"/>
    </row>
    <row r="8" spans="1:4" ht="10" customHeight="1" thickBot="1" x14ac:dyDescent="0.4">
      <c r="A8" s="122"/>
      <c r="B8" s="123"/>
      <c r="C8" s="124"/>
    </row>
    <row r="9" spans="1:4" ht="14.5" thickBot="1" x14ac:dyDescent="0.35">
      <c r="A9" s="127" t="s">
        <v>211</v>
      </c>
      <c r="B9" s="128"/>
      <c r="C9" s="213" t="s">
        <v>212</v>
      </c>
      <c r="D9" s="213" t="s">
        <v>213</v>
      </c>
    </row>
    <row r="10" spans="1:4" ht="14.5" thickBot="1" x14ac:dyDescent="0.35">
      <c r="A10" s="130" t="s">
        <v>214</v>
      </c>
      <c r="B10" s="131" t="s">
        <v>215</v>
      </c>
      <c r="C10" s="132">
        <f>(Driftsbudget!C5*Stamdata!C23-(C11*AntalMålere))/AntalBoligenheder</f>
        <v>745</v>
      </c>
      <c r="D10" s="55">
        <f>C10*1.25</f>
        <v>931.25</v>
      </c>
    </row>
    <row r="11" spans="1:4" ht="14.5" thickBot="1" x14ac:dyDescent="0.35">
      <c r="A11" s="130" t="s">
        <v>216</v>
      </c>
      <c r="B11" s="131" t="s">
        <v>215</v>
      </c>
      <c r="C11" s="132">
        <f>Målerbidrag!D35</f>
        <v>140</v>
      </c>
      <c r="D11" s="55">
        <f t="shared" ref="D11:D13" si="0">C11*1.25</f>
        <v>175</v>
      </c>
    </row>
    <row r="12" spans="1:4" ht="15" thickBot="1" x14ac:dyDescent="0.35">
      <c r="A12" s="130" t="s">
        <v>217</v>
      </c>
      <c r="B12" s="131" t="s">
        <v>215</v>
      </c>
      <c r="C12" s="132">
        <f>(Driftsbudget!C5*Stamdata!C24)/Leveretm3</f>
        <v>4.1066666666666665</v>
      </c>
      <c r="D12" s="55">
        <f t="shared" si="0"/>
        <v>5.1333333333333329</v>
      </c>
    </row>
    <row r="13" spans="1:4" ht="27.5" thickBot="1" x14ac:dyDescent="0.35">
      <c r="A13" s="130" t="s">
        <v>218</v>
      </c>
      <c r="B13" s="131" t="s">
        <v>215</v>
      </c>
      <c r="C13" s="132">
        <f>Stamdata!C18+Stamdata!C19</f>
        <v>6.37</v>
      </c>
      <c r="D13" s="55">
        <f t="shared" si="0"/>
        <v>7.9625000000000004</v>
      </c>
    </row>
    <row r="14" spans="1:4" ht="10" customHeight="1" thickBot="1" x14ac:dyDescent="0.35">
      <c r="A14" s="133"/>
    </row>
    <row r="15" spans="1:4" ht="26.5" thickBot="1" x14ac:dyDescent="0.35">
      <c r="A15" s="127" t="s">
        <v>219</v>
      </c>
      <c r="B15" s="134"/>
      <c r="C15" s="129" t="s">
        <v>220</v>
      </c>
      <c r="D15" s="129" t="s">
        <v>221</v>
      </c>
    </row>
    <row r="16" spans="1:4" ht="14.5" thickBot="1" x14ac:dyDescent="0.35">
      <c r="A16" s="135" t="s">
        <v>222</v>
      </c>
      <c r="B16" s="131"/>
      <c r="C16" s="142"/>
      <c r="D16" s="143"/>
    </row>
    <row r="17" spans="1:4" ht="14.5" thickBot="1" x14ac:dyDescent="0.35">
      <c r="A17" s="130" t="s">
        <v>223</v>
      </c>
      <c r="B17" s="131" t="s">
        <v>215</v>
      </c>
      <c r="C17" s="132">
        <f>Anlægskartotek!N$45/AntalBoligenheder</f>
        <v>25566.219681904764</v>
      </c>
      <c r="D17" s="55">
        <f>C17*1.25</f>
        <v>31957.774602380956</v>
      </c>
    </row>
    <row r="18" spans="1:4" ht="15" thickBot="1" x14ac:dyDescent="0.35">
      <c r="A18" s="130" t="s">
        <v>224</v>
      </c>
      <c r="B18" s="131" t="s">
        <v>215</v>
      </c>
      <c r="C18" s="132">
        <f>C17*1.1</f>
        <v>28122.841650095244</v>
      </c>
      <c r="D18" s="55">
        <f t="shared" ref="D18:D22" si="1">C18*1.25</f>
        <v>35153.552062619056</v>
      </c>
    </row>
    <row r="19" spans="1:4" ht="15" thickBot="1" x14ac:dyDescent="0.35">
      <c r="A19" s="130" t="s">
        <v>225</v>
      </c>
      <c r="B19" s="131" t="s">
        <v>215</v>
      </c>
      <c r="C19" s="132">
        <f>C17*1.2</f>
        <v>30679.463618285714</v>
      </c>
      <c r="D19" s="55">
        <f t="shared" si="1"/>
        <v>38349.329522857144</v>
      </c>
    </row>
    <row r="20" spans="1:4" ht="15" thickBot="1" x14ac:dyDescent="0.35">
      <c r="A20" s="130" t="s">
        <v>226</v>
      </c>
      <c r="B20" s="131" t="s">
        <v>215</v>
      </c>
      <c r="C20" s="132">
        <f>C17*1.3</f>
        <v>33236.085586476198</v>
      </c>
      <c r="D20" s="55">
        <f t="shared" si="1"/>
        <v>41545.106983095247</v>
      </c>
    </row>
    <row r="21" spans="1:4" ht="14.5" thickBot="1" x14ac:dyDescent="0.35">
      <c r="A21" s="135" t="s">
        <v>227</v>
      </c>
      <c r="B21" s="131" t="s">
        <v>215</v>
      </c>
      <c r="C21" s="132">
        <f>'Forsynings- og stikledninger'!C17</f>
        <v>5400</v>
      </c>
      <c r="D21" s="55">
        <f t="shared" si="1"/>
        <v>6750</v>
      </c>
    </row>
    <row r="22" spans="1:4" ht="14.5" thickBot="1" x14ac:dyDescent="0.35">
      <c r="A22" s="135" t="s">
        <v>228</v>
      </c>
      <c r="B22" s="131" t="s">
        <v>215</v>
      </c>
      <c r="C22" s="132">
        <f>'Forsynings- og stikledninger'!C32</f>
        <v>21937.5</v>
      </c>
      <c r="D22" s="55">
        <f t="shared" si="1"/>
        <v>27421.875</v>
      </c>
    </row>
    <row r="23" spans="1:4" ht="14.5" thickBot="1" x14ac:dyDescent="0.35">
      <c r="A23" s="135" t="s">
        <v>229</v>
      </c>
      <c r="B23" s="131" t="s">
        <v>230</v>
      </c>
      <c r="C23" s="132">
        <f>'Forsynings- og stikledninger'!D42</f>
        <v>6000</v>
      </c>
      <c r="D23" s="55">
        <f>C23*1.25</f>
        <v>7500</v>
      </c>
    </row>
    <row r="24" spans="1:4" ht="10" customHeight="1" x14ac:dyDescent="0.3">
      <c r="A24" s="133"/>
    </row>
    <row r="25" spans="1:4" ht="14.5" x14ac:dyDescent="0.3">
      <c r="A25" s="240" t="s">
        <v>231</v>
      </c>
      <c r="B25" s="240"/>
      <c r="C25" s="240"/>
      <c r="D25" s="240"/>
    </row>
    <row r="26" spans="1:4" ht="45" customHeight="1" x14ac:dyDescent="0.3">
      <c r="A26" s="237" t="s">
        <v>232</v>
      </c>
      <c r="B26" s="237"/>
      <c r="C26" s="237"/>
      <c r="D26" s="237"/>
    </row>
    <row r="27" spans="1:4" ht="10" customHeight="1" thickBot="1" x14ac:dyDescent="0.35">
      <c r="A27" s="133"/>
    </row>
    <row r="28" spans="1:4" ht="14.5" thickBot="1" x14ac:dyDescent="0.35">
      <c r="A28" s="127" t="s">
        <v>92</v>
      </c>
      <c r="B28" s="134"/>
      <c r="C28" s="129" t="s">
        <v>233</v>
      </c>
      <c r="D28" s="129" t="s">
        <v>221</v>
      </c>
    </row>
    <row r="29" spans="1:4" ht="14.5" thickBot="1" x14ac:dyDescent="0.35">
      <c r="A29" s="130" t="s">
        <v>234</v>
      </c>
      <c r="B29" s="131" t="s">
        <v>215</v>
      </c>
      <c r="C29" s="132">
        <v>100</v>
      </c>
      <c r="D29" s="55" t="s">
        <v>235</v>
      </c>
    </row>
    <row r="30" spans="1:4" ht="14.5" thickBot="1" x14ac:dyDescent="0.35">
      <c r="A30" s="130" t="s">
        <v>236</v>
      </c>
      <c r="B30" s="131" t="s">
        <v>215</v>
      </c>
      <c r="C30" s="179">
        <v>100</v>
      </c>
      <c r="D30" s="55" t="s">
        <v>235</v>
      </c>
    </row>
    <row r="31" spans="1:4" ht="14.5" thickBot="1" x14ac:dyDescent="0.35">
      <c r="A31" s="130" t="s">
        <v>237</v>
      </c>
      <c r="B31" s="131" t="s">
        <v>215</v>
      </c>
      <c r="C31" s="179">
        <v>100</v>
      </c>
      <c r="D31" s="55">
        <f>C31*1.25</f>
        <v>125</v>
      </c>
    </row>
    <row r="32" spans="1:4" ht="14.5" thickBot="1" x14ac:dyDescent="0.35">
      <c r="A32" s="130" t="s">
        <v>238</v>
      </c>
      <c r="B32" s="131" t="s">
        <v>215</v>
      </c>
      <c r="C32" s="179">
        <v>200</v>
      </c>
      <c r="D32" s="55">
        <f>C32*1.25</f>
        <v>250</v>
      </c>
    </row>
    <row r="33" spans="1:4" ht="14.5" thickBot="1" x14ac:dyDescent="0.35">
      <c r="A33" s="130" t="s">
        <v>239</v>
      </c>
      <c r="B33" s="131" t="s">
        <v>230</v>
      </c>
      <c r="C33" s="179">
        <v>500</v>
      </c>
      <c r="D33" s="55" t="s">
        <v>240</v>
      </c>
    </row>
    <row r="34" spans="1:4" ht="14.5" thickBot="1" x14ac:dyDescent="0.35">
      <c r="A34" s="130" t="s">
        <v>241</v>
      </c>
      <c r="B34" s="131" t="s">
        <v>215</v>
      </c>
      <c r="C34" s="179">
        <v>1500</v>
      </c>
      <c r="D34" s="55">
        <f>C34*1.25</f>
        <v>1875</v>
      </c>
    </row>
    <row r="35" spans="1:4" x14ac:dyDescent="0.3">
      <c r="A35" s="144"/>
      <c r="B35" s="144"/>
      <c r="C35" s="145"/>
      <c r="D35" s="145"/>
    </row>
    <row r="36" spans="1:4" x14ac:dyDescent="0.3">
      <c r="A36" s="144"/>
      <c r="B36" s="144"/>
      <c r="D36" s="145"/>
    </row>
    <row r="37" spans="1:4" x14ac:dyDescent="0.3">
      <c r="A37" s="133"/>
    </row>
    <row r="38" spans="1:4" x14ac:dyDescent="0.3">
      <c r="A38" s="133" t="s">
        <v>242</v>
      </c>
    </row>
  </sheetData>
  <mergeCells count="7">
    <mergeCell ref="A26:D26"/>
    <mergeCell ref="A3:D3"/>
    <mergeCell ref="A1:D1"/>
    <mergeCell ref="A25:D25"/>
    <mergeCell ref="C6:D6"/>
    <mergeCell ref="C7:D7"/>
    <mergeCell ref="C5:D5"/>
  </mergeCells>
  <pageMargins left="0.59055118110236227" right="0.59055118110236227" top="0.39370078740157483" bottom="0.59055118110236227" header="0.19685039370078741" footer="0.19685039370078741"/>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http://schemas.microsoft.com/sharepoint/v3" xsi:nil="true"/>
    <Dokindhold xmlns="http://schemas.microsoft.com/sharepoint/v3">Layout</Dokindhold>
    <Thumbnail xmlns="http://schemas.microsoft.com/sharepoint/v3" xsi:nil="true"/>
    <From xmlns="http://schemas.microsoft.com/sharepoint/v3" xsi:nil="true"/>
    <TaxCatchAll xmlns="2c8e6e05-f5c3-4dd1-ad43-d728dffb6188" xsi:nil="true"/>
    <TaxKeywordTaxHTField xmlns="2c8e6e05-f5c3-4dd1-ad43-d728dffb6188">
      <Terms xmlns="http://schemas.microsoft.com/office/infopath/2007/PartnerControls"/>
    </TaxKeywordTaxHTField>
    <OriginalSubject xmlns="http://schemas.microsoft.com/sharepoint/v3" xsi:nil="true"/>
    <Cc xmlns="http://schemas.microsoft.com/sharepoint/v3" xsi:nil="true"/>
    <To xmlns="http://schemas.microsoft.com/sharepoint/v3" xsi:nil="true"/>
    <Email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F4CA0BBA59C9B4EA3C86DDFF66EB50A" ma:contentTypeVersion="14" ma:contentTypeDescription="Opret et nyt dokument." ma:contentTypeScope="" ma:versionID="39da0637ecbce76154628a5d96074b53">
  <xsd:schema xmlns:xsd="http://www.w3.org/2001/XMLSchema" xmlns:xs="http://www.w3.org/2001/XMLSchema" xmlns:p="http://schemas.microsoft.com/office/2006/metadata/properties" xmlns:ns1="http://schemas.microsoft.com/sharepoint/v3" xmlns:ns2="2c8e6e05-f5c3-4dd1-ad43-d728dffb6188" xmlns:ns3="978ce21a-5164-4958-bf90-e497e46dd074" targetNamespace="http://schemas.microsoft.com/office/2006/metadata/properties" ma:root="true" ma:fieldsID="645e01ff9554b4b52e2f97713403af16" ns1:_="" ns2:_="" ns3:_="">
    <xsd:import namespace="http://schemas.microsoft.com/sharepoint/v3"/>
    <xsd:import namespace="2c8e6e05-f5c3-4dd1-ad43-d728dffb6188"/>
    <xsd:import namespace="978ce21a-5164-4958-bf90-e497e46dd074"/>
    <xsd:element name="properties">
      <xsd:complexType>
        <xsd:sequence>
          <xsd:element name="documentManagement">
            <xsd:complexType>
              <xsd:all>
                <xsd:element ref="ns1:OriginalSubject" minOccurs="0"/>
                <xsd:element ref="ns1:Thumbnail" minOccurs="0"/>
                <xsd:element ref="ns1:From" minOccurs="0"/>
                <xsd:element ref="ns1:TaxKeywordTaxHTField" minOccurs="0"/>
                <xsd:element ref="ns2:TaxKeywordTaxHTField" minOccurs="0"/>
                <xsd:element ref="ns2:TaxCatchAll" minOccurs="0"/>
                <xsd:element ref="ns1:To" minOccurs="0"/>
                <xsd:element ref="ns1:EmailDate" minOccurs="0"/>
                <xsd:element ref="ns1:Dokindhold"/>
                <xsd:element ref="ns1:Cc"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riginalSubject" ma:index="8" nillable="true" ma:displayName="Emne" ma:description="OriginalSubject" ma:internalName="OriginalSubject">
      <xsd:simpleType>
        <xsd:restriction base="dms:Text"/>
      </xsd:simpleType>
    </xsd:element>
    <xsd:element name="Thumbnail" ma:index="9" nillable="true" ma:displayName="Thumbnail" ma:description="Thumbnail" ma:internalName="Thumbnail">
      <xsd:simpleType>
        <xsd:restriction base="dms:Text"/>
      </xsd:simpleType>
    </xsd:element>
    <xsd:element name="From" ma:index="10" nillable="true" ma:displayName="Afsender" ma:description="From" ma:internalName="From">
      <xsd:simpleType>
        <xsd:restriction base="dms:Text"/>
      </xsd:simpleType>
    </xsd:element>
    <xsd:element name="TaxKeywordTaxHTField" ma:index="11" nillable="true" ma:displayName="TaxKeywordTaxHTField" ma:hidden="true" ma:internalName="TaxKeywordTaxHTField">
      <xsd:simpleType>
        <xsd:restriction base="dms:Note"/>
      </xsd:simpleType>
    </xsd:element>
    <xsd:element name="To" ma:index="15" nillable="true" ma:displayName="Modtager" ma:description="To" ma:internalName="To">
      <xsd:simpleType>
        <xsd:restriction base="dms:Text"/>
      </xsd:simpleType>
    </xsd:element>
    <xsd:element name="EmailDate" ma:index="16" nillable="true" ma:displayName="E-mail dato" ma:description="EmailDate" ma:internalName="EmailDate">
      <xsd:simpleType>
        <xsd:restriction base="dms:Text"/>
      </xsd:simpleType>
    </xsd:element>
    <xsd:element name="Dokindhold" ma:index="17" ma:displayName="Dok.indhold" ma:description="Company Segment" ma:format="Dropdown" ma:internalName="Dokindhold">
      <xsd:simpleType>
        <xsd:restriction base="dms:Choice">
          <xsd:enumeration value="Referat"/>
          <xsd:enumeration value="Præsentation"/>
          <xsd:enumeration value="Dagsorden"/>
          <xsd:enumeration value="Besvarelse"/>
          <xsd:enumeration value="Bekræftelse"/>
          <xsd:enumeration value="Layout"/>
          <xsd:enumeration value="Andet"/>
        </xsd:restriction>
      </xsd:simpleType>
    </xsd:element>
    <xsd:element name="Cc" ma:index="18" nillable="true" ma:displayName="Cc" ma:description="Cc" ma:internalName="Cc">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8e6e05-f5c3-4dd1-ad43-d728dffb6188" elementFormDefault="qualified">
    <xsd:import namespace="http://schemas.microsoft.com/office/2006/documentManagement/types"/>
    <xsd:import namespace="http://schemas.microsoft.com/office/infopath/2007/PartnerControls"/>
    <xsd:element name="TaxKeywordTaxHTField" ma:index="13" ma:taxonomy="true" ma:internalName="TaxKeywordTaxHTField0" ma:taxonomyFieldName="TaxKeyword" ma:displayName="Nøgleord" ma:readOnly="false" ma:default="" ma:fieldId="{23f27201-bee3-471e-b2e7-b64fd8b7ca38}" ma:taxonomyMulti="true" ma:sspId="a4779e0d-20ed-45e1-b7da-24c68ad628f6"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hidden="true" ma:list="{ecaec016-b581-4287-92c4-799408943ed1}" ma:internalName="TaxCatchAll" ma:showField="CatchAllData" ma:web="2c8e6e05-f5c3-4dd1-ad43-d728dffb61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8ce21a-5164-4958-bf90-e497e46dd074"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A33EE6-6795-4FAD-A48E-3DBD21934AAD}">
  <ds:schemaRefs>
    <ds:schemaRef ds:uri="http://schemas.microsoft.com/office/2006/metadata/properties"/>
    <ds:schemaRef ds:uri="http://schemas.microsoft.com/office/infopath/2007/PartnerControls"/>
    <ds:schemaRef ds:uri="http://schemas.microsoft.com/sharepoint/v3"/>
    <ds:schemaRef ds:uri="2c8e6e05-f5c3-4dd1-ad43-d728dffb6188"/>
  </ds:schemaRefs>
</ds:datastoreItem>
</file>

<file path=customXml/itemProps2.xml><?xml version="1.0" encoding="utf-8"?>
<ds:datastoreItem xmlns:ds="http://schemas.openxmlformats.org/officeDocument/2006/customXml" ds:itemID="{DDAF5AAD-5C12-4FE9-AE72-9C38FB6F63CA}">
  <ds:schemaRefs>
    <ds:schemaRef ds:uri="http://schemas.microsoft.com/sharepoint/v3/contenttype/forms"/>
  </ds:schemaRefs>
</ds:datastoreItem>
</file>

<file path=customXml/itemProps3.xml><?xml version="1.0" encoding="utf-8"?>
<ds:datastoreItem xmlns:ds="http://schemas.openxmlformats.org/officeDocument/2006/customXml" ds:itemID="{3F73D692-EFF8-49C1-85DA-0D1971846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8e6e05-f5c3-4dd1-ad43-d728dffb6188"/>
    <ds:schemaRef ds:uri="978ce21a-5164-4958-bf90-e497e46dd0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11</vt:i4>
      </vt:variant>
    </vt:vector>
  </HeadingPairs>
  <TitlesOfParts>
    <vt:vector size="19" baseType="lpstr">
      <vt:lpstr>Stamdata</vt:lpstr>
      <vt:lpstr>Likviditetsbudget</vt:lpstr>
      <vt:lpstr>Investeringsplan</vt:lpstr>
      <vt:lpstr>Driftsbudget</vt:lpstr>
      <vt:lpstr>Anlægskartotek</vt:lpstr>
      <vt:lpstr>Forsynings- og stikledninger</vt:lpstr>
      <vt:lpstr>Målerbidrag</vt:lpstr>
      <vt:lpstr>Takstblad</vt:lpstr>
      <vt:lpstr>AntalBoligenheder</vt:lpstr>
      <vt:lpstr>AntalMålere</vt:lpstr>
      <vt:lpstr>Leveretm3</vt:lpstr>
      <vt:lpstr>RegnÅr</vt:lpstr>
      <vt:lpstr>TakstÅr</vt:lpstr>
      <vt:lpstr>Anlægskartotek!Udskriftsområde</vt:lpstr>
      <vt:lpstr>Likviditetsbudget!Udskriftsområde</vt:lpstr>
      <vt:lpstr>Driftsbudget!Udskriftstitler</vt:lpstr>
      <vt:lpstr>Investeringsplan!Udskriftstitler</vt:lpstr>
      <vt:lpstr>Likviditetsbudget!Udskriftstitler</vt:lpstr>
      <vt:lpstr>Vnavn</vt:lpstr>
    </vt:vector>
  </TitlesOfParts>
  <Manager/>
  <Company>Systemhosting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Bogholderi</dc:creator>
  <cp:keywords/>
  <dc:description/>
  <cp:lastModifiedBy>Mette Kingod</cp:lastModifiedBy>
  <cp:revision/>
  <dcterms:created xsi:type="dcterms:W3CDTF">2016-05-12T09:34:35Z</dcterms:created>
  <dcterms:modified xsi:type="dcterms:W3CDTF">2022-09-25T12:47:58Z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0x0101008F4CA0BBA59C9B4EA3C86DDFF66EB50A</vt:lpwstr>
  </property>
  <property fmtid="{D5CDD505-2E9C-101B-9397-08002B2CF9AE}" pid="3" name="TaxKeyword">
    <vt:lpwstr/>
  </property>
</Properties>
</file>